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80" yWindow="65521" windowWidth="8100" windowHeight="8760" tabRatio="840" activeTab="0"/>
  </bookViews>
  <sheets>
    <sheet name="Patrick B." sheetId="1" r:id="rId1"/>
    <sheet name="Sylvain" sheetId="2" r:id="rId2"/>
    <sheet name="Hugo" sheetId="3" r:id="rId3"/>
    <sheet name="Johnny" sheetId="4" r:id="rId4"/>
    <sheet name="Gilles" sheetId="5" r:id="rId5"/>
    <sheet name="Maxime" sheetId="6" r:id="rId6"/>
    <sheet name="Jonathan" sheetId="7" r:id="rId7"/>
    <sheet name="Phil" sheetId="8" r:id="rId8"/>
    <sheet name="Gaetan" sheetId="9" r:id="rId9"/>
    <sheet name="Patrick L." sheetId="10" r:id="rId10"/>
  </sheets>
  <externalReferences>
    <externalReference r:id="rId13"/>
    <externalReference r:id="rId14"/>
  </externalReferences>
  <definedNames/>
  <calcPr fullCalcOnLoad="1" iterate="1" iterateCount="300" iterateDelta="0.001"/>
</workbook>
</file>

<file path=xl/sharedStrings.xml><?xml version="1.0" encoding="utf-8"?>
<sst xmlns="http://schemas.openxmlformats.org/spreadsheetml/2006/main" count="5694" uniqueCount="1178">
  <si>
    <t>Équipe de la LPCH</t>
  </si>
  <si>
    <t xml:space="preserve">Équipes LNH : </t>
  </si>
  <si>
    <t>P.J.</t>
  </si>
  <si>
    <t>PTS</t>
  </si>
  <si>
    <t>B.P.</t>
  </si>
  <si>
    <t>B.C.</t>
  </si>
  <si>
    <t>Points</t>
  </si>
  <si>
    <t>Totals :</t>
  </si>
  <si>
    <t>Catégories</t>
  </si>
  <si>
    <t xml:space="preserve">P.J. </t>
  </si>
  <si>
    <t xml:space="preserve">PTS </t>
  </si>
  <si>
    <t>Pts/P.J.</t>
  </si>
  <si>
    <t>Équipes</t>
  </si>
  <si>
    <t>Gardiens de buts</t>
  </si>
  <si>
    <t>Gardiens</t>
  </si>
  <si>
    <t>Age</t>
  </si>
  <si>
    <t xml:space="preserve">Équipe </t>
  </si>
  <si>
    <t>Joueurs</t>
  </si>
  <si>
    <t>V</t>
  </si>
  <si>
    <t>DP</t>
  </si>
  <si>
    <t>BL</t>
  </si>
  <si>
    <t>Buts</t>
  </si>
  <si>
    <t>P.</t>
  </si>
  <si>
    <t>Ailiers</t>
  </si>
  <si>
    <t>Centres</t>
  </si>
  <si>
    <t>Défenseurs</t>
  </si>
  <si>
    <t>Totals:</t>
  </si>
  <si>
    <t>Recrues</t>
  </si>
  <si>
    <t xml:space="preserve">Totals équipes : </t>
  </si>
  <si>
    <t>Équipe</t>
  </si>
  <si>
    <t>Passes</t>
  </si>
  <si>
    <t>Rés. Équipes</t>
  </si>
  <si>
    <t>Rés. Gardiens</t>
  </si>
  <si>
    <t>Rés. Ailier</t>
  </si>
  <si>
    <t>Rés. Centres</t>
  </si>
  <si>
    <t>Rés. Défenseurs</t>
  </si>
  <si>
    <t>Rés. Recrues</t>
  </si>
  <si>
    <t>Totals réservistes:</t>
  </si>
  <si>
    <t xml:space="preserve">Moy. Age </t>
  </si>
  <si>
    <t>Moy. Age (Rés.)</t>
  </si>
  <si>
    <t>Moy. Age équipe</t>
  </si>
  <si>
    <t>Pos. Finale</t>
  </si>
  <si>
    <t>Octobre 2007</t>
  </si>
  <si>
    <t>Novembre 2007</t>
  </si>
  <si>
    <t>Décembre 2007</t>
  </si>
  <si>
    <t>Janvier 2008</t>
  </si>
  <si>
    <t>Février 2008</t>
  </si>
  <si>
    <t>Mars 2008</t>
  </si>
  <si>
    <t>Avril 2008</t>
  </si>
  <si>
    <t>Centre d'échanges du participant</t>
  </si>
  <si>
    <t xml:space="preserve">Genre </t>
  </si>
  <si>
    <t>Joueur échangé</t>
  </si>
  <si>
    <t>Échange de</t>
  </si>
  <si>
    <t>Joueurs reçu</t>
  </si>
  <si>
    <t>Date/Heure</t>
  </si>
  <si>
    <t>Points (sans gard.)</t>
  </si>
  <si>
    <t>Moy. Pts. Match</t>
  </si>
  <si>
    <t>Victoires gardiens</t>
  </si>
  <si>
    <t xml:space="preserve">Blanchissage </t>
  </si>
  <si>
    <t>Def. Prol. Gard.</t>
  </si>
  <si>
    <t>Statistiques  Individuelles</t>
  </si>
  <si>
    <t>Statistiques  Mensuels</t>
  </si>
  <si>
    <t>Nbrs</t>
  </si>
  <si>
    <t>Club École (réservistes)</t>
  </si>
  <si>
    <t>Statistiques  Réservistes</t>
  </si>
  <si>
    <t>Statistiques  Personnelles</t>
  </si>
  <si>
    <t xml:space="preserve">Équipe LNH : </t>
  </si>
  <si>
    <t>non pour les parties jouées.</t>
  </si>
  <si>
    <t>Moy. Ligue*</t>
  </si>
  <si>
    <t>* Moyenne de la ligue est seulement pour les points, pour chaque catégorie et</t>
  </si>
  <si>
    <t>Détail des échanges</t>
  </si>
  <si>
    <t>Intra-équipe</t>
  </si>
  <si>
    <t>Agent libre LNH</t>
  </si>
  <si>
    <t>Entre pooleurs</t>
  </si>
  <si>
    <t>Blessés</t>
  </si>
  <si>
    <t xml:space="preserve">Contrat </t>
  </si>
  <si>
    <t>Suspendue</t>
  </si>
  <si>
    <t>Mineur</t>
  </si>
  <si>
    <t>Raison person.</t>
  </si>
  <si>
    <t>Retraite</t>
  </si>
  <si>
    <t>Total Échanges</t>
  </si>
  <si>
    <t>Nbr.</t>
  </si>
  <si>
    <t>Raisons</t>
  </si>
  <si>
    <t>2007/08</t>
  </si>
  <si>
    <t>Ailier</t>
  </si>
  <si>
    <t>Recrue</t>
  </si>
  <si>
    <t>Points Joueurs</t>
  </si>
  <si>
    <t>Réservistes</t>
  </si>
  <si>
    <t>Blanchissages</t>
  </si>
  <si>
    <t>Part. en série</t>
  </si>
  <si>
    <t>Saison</t>
  </si>
  <si>
    <t>Statistiques LNPH</t>
  </si>
  <si>
    <t>Pos.</t>
  </si>
  <si>
    <t>2ème</t>
  </si>
  <si>
    <t>3ème</t>
  </si>
  <si>
    <t>1er</t>
  </si>
  <si>
    <t>1999-2000</t>
  </si>
  <si>
    <t>2000-2001</t>
  </si>
  <si>
    <t>2001-2002</t>
  </si>
  <si>
    <t>2003-2004</t>
  </si>
  <si>
    <t>2005-2006</t>
  </si>
  <si>
    <t>2006-2007</t>
  </si>
  <si>
    <t>2002-2003</t>
  </si>
  <si>
    <t>8ème</t>
  </si>
  <si>
    <t>1624</t>
  </si>
  <si>
    <t>Séries</t>
  </si>
  <si>
    <t>4ème</t>
  </si>
  <si>
    <t>2002</t>
  </si>
  <si>
    <t>2003</t>
  </si>
  <si>
    <t>2004</t>
  </si>
  <si>
    <t>2006</t>
  </si>
  <si>
    <t>2007</t>
  </si>
  <si>
    <t>Vic. (gardiens)</t>
  </si>
  <si>
    <t>5ème</t>
  </si>
  <si>
    <t>7ème</t>
  </si>
  <si>
    <t>9ème</t>
  </si>
  <si>
    <t>13ème</t>
  </si>
  <si>
    <t>1666</t>
  </si>
  <si>
    <t>Pas Participer</t>
  </si>
  <si>
    <t>En Carrière</t>
  </si>
  <si>
    <t>110</t>
  </si>
  <si>
    <t>15ème</t>
  </si>
  <si>
    <t>43</t>
  </si>
  <si>
    <t>1537</t>
  </si>
  <si>
    <t>6ème</t>
  </si>
  <si>
    <t>18ème</t>
  </si>
  <si>
    <t>21ème</t>
  </si>
  <si>
    <t>1318</t>
  </si>
  <si>
    <t>1658</t>
  </si>
  <si>
    <t>11ème</t>
  </si>
  <si>
    <t>14ème</t>
  </si>
  <si>
    <t>77</t>
  </si>
  <si>
    <t>Bourses</t>
  </si>
  <si>
    <t>10ème</t>
  </si>
  <si>
    <t>1653</t>
  </si>
  <si>
    <t>12ème</t>
  </si>
  <si>
    <t>1600</t>
  </si>
  <si>
    <t>203</t>
  </si>
  <si>
    <t>1629</t>
  </si>
  <si>
    <t>190</t>
  </si>
  <si>
    <t>Recrues Joueurs</t>
  </si>
  <si>
    <t>Recrues Gardiens</t>
  </si>
  <si>
    <t>Totals Joueurs + Gardiens:</t>
  </si>
  <si>
    <t>Pos</t>
  </si>
  <si>
    <t>C</t>
  </si>
  <si>
    <t>A</t>
  </si>
  <si>
    <t>2e</t>
  </si>
  <si>
    <t>3e</t>
  </si>
  <si>
    <t>4e</t>
  </si>
  <si>
    <t>5e</t>
  </si>
  <si>
    <t>6e</t>
  </si>
  <si>
    <t>7e</t>
  </si>
  <si>
    <t>8e</t>
  </si>
  <si>
    <t>10e</t>
  </si>
  <si>
    <t>9e</t>
  </si>
  <si>
    <t>1e</t>
  </si>
  <si>
    <t>Saisons</t>
  </si>
  <si>
    <t>Pts</t>
  </si>
  <si>
    <t>Nbr. 1er</t>
  </si>
  <si>
    <t>Total Pts</t>
  </si>
  <si>
    <t>Def. Prol. Ga</t>
  </si>
  <si>
    <t>Nb. Changement</t>
  </si>
  <si>
    <t>Statistiques  Mensuels Saison 2007/08</t>
  </si>
  <si>
    <t xml:space="preserve">* Moyenne de la ligue est seulement pour les points, pour chaque </t>
  </si>
  <si>
    <t>catégorie et non pour les parties jouées.</t>
  </si>
  <si>
    <t>Moy. Age Équi</t>
  </si>
  <si>
    <t>Équipes LNH</t>
  </si>
  <si>
    <t>Gagnant Mois</t>
  </si>
  <si>
    <t>Gagnant Sem.</t>
  </si>
  <si>
    <t>Classement Général</t>
  </si>
  <si>
    <t xml:space="preserve">Statistiques  Mensuels </t>
  </si>
  <si>
    <t xml:space="preserve">Statistique Personnelles LPCH </t>
  </si>
  <si>
    <t>Liens</t>
  </si>
  <si>
    <t>Classement Individuel</t>
  </si>
  <si>
    <t>Stats saison en cours</t>
  </si>
  <si>
    <t>Novembre 2008</t>
  </si>
  <si>
    <t>Décembre 2008</t>
  </si>
  <si>
    <t>Janvier 2009</t>
  </si>
  <si>
    <t>Février 2009</t>
  </si>
  <si>
    <t>Avril 2009</t>
  </si>
  <si>
    <t>Mars 2009</t>
  </si>
  <si>
    <t>16/07/2008</t>
  </si>
  <si>
    <t>Higgins</t>
  </si>
  <si>
    <t>Dallas</t>
  </si>
  <si>
    <t>Hugo</t>
  </si>
  <si>
    <t>Échange</t>
  </si>
  <si>
    <t>Gaetant</t>
  </si>
  <si>
    <t>Zidlcky, Drury, Turco
Souray</t>
  </si>
  <si>
    <t>Gaetan</t>
  </si>
  <si>
    <t>Lisdtrom et 2e choix 
2008</t>
  </si>
  <si>
    <t>17/07/2008</t>
  </si>
  <si>
    <t>Lidstrom &amp; 2e choix
2008</t>
  </si>
  <si>
    <t>Sylvain</t>
  </si>
  <si>
    <t>Zidlcky, Turco, Drury
&amp; Souray</t>
  </si>
  <si>
    <t>Gagnant Ronde</t>
  </si>
  <si>
    <t>Statistique Personnelles LPCH</t>
  </si>
  <si>
    <t>2008/09</t>
  </si>
  <si>
    <t>Smith</t>
  </si>
  <si>
    <t>Patrick L.</t>
  </si>
  <si>
    <t>6e choix</t>
  </si>
  <si>
    <t>06/08/2008</t>
  </si>
  <si>
    <t>6e choix 2008</t>
  </si>
  <si>
    <t>Sundin</t>
  </si>
  <si>
    <t>10e choix en 2008</t>
  </si>
  <si>
    <t>19/08/2008</t>
  </si>
  <si>
    <t>10e choix 2008</t>
  </si>
  <si>
    <t>Johnny</t>
  </si>
  <si>
    <t xml:space="preserve">Échange </t>
  </si>
  <si>
    <t>6e ronde</t>
  </si>
  <si>
    <t>Timonen</t>
  </si>
  <si>
    <t>Gilles</t>
  </si>
  <si>
    <t>Tanguay &amp; Boucher</t>
  </si>
  <si>
    <t>Maxime</t>
  </si>
  <si>
    <t>9e choix en 2008</t>
  </si>
  <si>
    <t>22/08/2008</t>
  </si>
  <si>
    <t>S. Gagné &amp; 1er choix</t>
  </si>
  <si>
    <t>Jonathan</t>
  </si>
  <si>
    <t>Whitney, Markov 
&amp; 7e choix</t>
  </si>
  <si>
    <t>Whitney, Markov &amp; 
7e choix 2008</t>
  </si>
  <si>
    <t>S. Gagné &amp; 
1er choix 2008</t>
  </si>
  <si>
    <t>23/08/2008</t>
  </si>
  <si>
    <t>Coburn, Huselius &amp;
15e choix en 2008</t>
  </si>
  <si>
    <t>Son 3e et 15e choix</t>
  </si>
  <si>
    <t>26/08/2008</t>
  </si>
  <si>
    <t>3e et 15e choix en 2008</t>
  </si>
  <si>
    <t>Huselius, Coburn &amp;
15e choix 2008</t>
  </si>
  <si>
    <t>Sykora</t>
  </si>
  <si>
    <t>Niedermayer</t>
  </si>
  <si>
    <t>Backstrom</t>
  </si>
  <si>
    <t>Sykora et son 6e choix</t>
  </si>
  <si>
    <t>30/08/2008</t>
  </si>
  <si>
    <t>Sykora et 6e choix 2008</t>
  </si>
  <si>
    <t>Patrick B.</t>
  </si>
  <si>
    <t>Octobre 2008</t>
  </si>
  <si>
    <t>Blessé</t>
  </si>
  <si>
    <t>D</t>
  </si>
  <si>
    <t>Contrat</t>
  </si>
  <si>
    <t>R</t>
  </si>
  <si>
    <t>Total 15 échanges</t>
  </si>
  <si>
    <t>Agent libre</t>
  </si>
  <si>
    <t>Libère Montoya</t>
  </si>
  <si>
    <t>NHL</t>
  </si>
  <si>
    <t>Crawfort</t>
  </si>
  <si>
    <t>01/10 à 21h35</t>
  </si>
  <si>
    <t>Agent Libre</t>
  </si>
  <si>
    <t>Libère Sullivan</t>
  </si>
  <si>
    <t>Niemi</t>
  </si>
  <si>
    <t>01/10 à 21h07</t>
  </si>
  <si>
    <t>Mineurs</t>
  </si>
  <si>
    <t>Giroux</t>
  </si>
  <si>
    <t>Réserviste</t>
  </si>
  <si>
    <t>Pihltrom</t>
  </si>
  <si>
    <t>06/10 à 21h01</t>
  </si>
  <si>
    <t>Libère O'Byrne</t>
  </si>
  <si>
    <t>LNH</t>
  </si>
  <si>
    <t>réclame Krajicek</t>
  </si>
  <si>
    <t>07/10 à 20h23</t>
  </si>
  <si>
    <t>Clowe</t>
  </si>
  <si>
    <t>08/10 à 12h52</t>
  </si>
  <si>
    <t>Mathias</t>
  </si>
  <si>
    <t>Ericsson</t>
  </si>
  <si>
    <t>08/10 à 20h22</t>
  </si>
  <si>
    <t>Purcell</t>
  </si>
  <si>
    <t>Pietrangelo</t>
  </si>
  <si>
    <t>09/10 à 18h54</t>
  </si>
  <si>
    <t>Pavalec</t>
  </si>
  <si>
    <t>Doughty</t>
  </si>
  <si>
    <t>09/10 à 15h13</t>
  </si>
  <si>
    <t>Libère Pouliot</t>
  </si>
  <si>
    <t>Libère Peckard</t>
  </si>
  <si>
    <t>Winchester</t>
  </si>
  <si>
    <t>08/10 à 23h35</t>
  </si>
  <si>
    <t>Moller</t>
  </si>
  <si>
    <t>09/10 à 21h37</t>
  </si>
  <si>
    <t>Backlund</t>
  </si>
  <si>
    <t>11/10 à 00h04</t>
  </si>
  <si>
    <t>Connely</t>
  </si>
  <si>
    <t>Little</t>
  </si>
  <si>
    <t>11/10 à 13h53</t>
  </si>
  <si>
    <t>Alfredson &amp; Jones</t>
  </si>
  <si>
    <t>Steen &amp; Stuart</t>
  </si>
  <si>
    <t>11/10 à 17h15</t>
  </si>
  <si>
    <t>Libère Ericsson</t>
  </si>
  <si>
    <t>réclame Bailey</t>
  </si>
  <si>
    <t>12/10 à 18h51</t>
  </si>
  <si>
    <t>Fedotenko</t>
  </si>
  <si>
    <t>Kozlov</t>
  </si>
  <si>
    <t>12/10 à 15h02</t>
  </si>
  <si>
    <t>Intra-Équipe</t>
  </si>
  <si>
    <t>Vrbata</t>
  </si>
  <si>
    <t>Tkachuk</t>
  </si>
  <si>
    <t>12/10 à 23h00</t>
  </si>
  <si>
    <t>Comrie</t>
  </si>
  <si>
    <t>Koivu</t>
  </si>
  <si>
    <t>12/10 à 17h00</t>
  </si>
  <si>
    <t>Libère Schremp</t>
  </si>
  <si>
    <t>Selmela</t>
  </si>
  <si>
    <t>13/10 à 12h18</t>
  </si>
  <si>
    <t>Johnson</t>
  </si>
  <si>
    <t>Ohlund</t>
  </si>
  <si>
    <t>13/10 à 19h08</t>
  </si>
  <si>
    <t>Ottawa</t>
  </si>
  <si>
    <t>Buffalo</t>
  </si>
  <si>
    <t>14/10 à 11h46</t>
  </si>
  <si>
    <t>Agents Libres</t>
  </si>
  <si>
    <t>Libère Walker &amp; Potulny</t>
  </si>
  <si>
    <t>Versteeg &amp; Korpikoski</t>
  </si>
  <si>
    <t>14/10 à 15h03</t>
  </si>
  <si>
    <t>Rt. Blessure</t>
  </si>
  <si>
    <t xml:space="preserve">Sykora  </t>
  </si>
  <si>
    <t>14/10 à 18h45</t>
  </si>
  <si>
    <t>Libère Crawfort</t>
  </si>
  <si>
    <t>Giordano</t>
  </si>
  <si>
    <t>14/10 à 21h50</t>
  </si>
  <si>
    <t>Booth</t>
  </si>
  <si>
    <t>15/10 à 12h34</t>
  </si>
  <si>
    <t>Hecht</t>
  </si>
  <si>
    <t>Latendresse</t>
  </si>
  <si>
    <t>15/10 à 12h53</t>
  </si>
  <si>
    <t>Stuart</t>
  </si>
  <si>
    <t>Yandle</t>
  </si>
  <si>
    <t>15/10 à 14h37</t>
  </si>
  <si>
    <t>McCabe</t>
  </si>
  <si>
    <t>Bergeron</t>
  </si>
  <si>
    <t>15/10 à 20h42</t>
  </si>
  <si>
    <t>Arnott</t>
  </si>
  <si>
    <t>Umburger</t>
  </si>
  <si>
    <t>16/10 à 9h32</t>
  </si>
  <si>
    <t>Libère Stajan</t>
  </si>
  <si>
    <t>Voros</t>
  </si>
  <si>
    <t>16/10 à 8h47</t>
  </si>
  <si>
    <t>Gaborik</t>
  </si>
  <si>
    <t>Kennedy</t>
  </si>
  <si>
    <t>16/10 à 18h59</t>
  </si>
  <si>
    <t>Libère Sundin</t>
  </si>
  <si>
    <t>Roenick</t>
  </si>
  <si>
    <t>17/10 à 13h08</t>
  </si>
  <si>
    <t>Libère Dawes</t>
  </si>
  <si>
    <t>17/10 à 18h35</t>
  </si>
  <si>
    <t>Libère Kontiola</t>
  </si>
  <si>
    <t>Porter</t>
  </si>
  <si>
    <t>17/10 à 19h54</t>
  </si>
  <si>
    <t>Libère Tampa</t>
  </si>
  <si>
    <t>Réclame St-Louis</t>
  </si>
  <si>
    <t>17/10 à 6h38</t>
  </si>
  <si>
    <t>Hulder</t>
  </si>
  <si>
    <t>O'Sullivan</t>
  </si>
  <si>
    <t>17/10 à 17h15</t>
  </si>
  <si>
    <t>Steen</t>
  </si>
  <si>
    <t>Alfredsson</t>
  </si>
  <si>
    <t>17/10 à 19h02</t>
  </si>
  <si>
    <t>Poti</t>
  </si>
  <si>
    <t>Kaberle</t>
  </si>
  <si>
    <t>17/10 à 19h28</t>
  </si>
  <si>
    <t>Pavalski</t>
  </si>
  <si>
    <t>Brind'Amour</t>
  </si>
  <si>
    <t xml:space="preserve">Versteeg  </t>
  </si>
  <si>
    <t>Philadelphie</t>
  </si>
  <si>
    <t>Boston</t>
  </si>
  <si>
    <t>18/10 à 9h25</t>
  </si>
  <si>
    <t>Leclaire</t>
  </si>
  <si>
    <t>Legace</t>
  </si>
  <si>
    <t>18/10 à 11h59</t>
  </si>
  <si>
    <t>18/10 à 18h10</t>
  </si>
  <si>
    <t>Michalek</t>
  </si>
  <si>
    <t>Paille</t>
  </si>
  <si>
    <t>18/10 à 15h53</t>
  </si>
  <si>
    <t>Barker &amp; Rolston</t>
  </si>
  <si>
    <t>Stall &amp; Filppula</t>
  </si>
  <si>
    <t>18/10 à 16h37</t>
  </si>
  <si>
    <t>Washington</t>
  </si>
  <si>
    <t>18/10 à 16h38</t>
  </si>
  <si>
    <t>Kostitsyn</t>
  </si>
  <si>
    <t>18/10 à 22h04</t>
  </si>
  <si>
    <r>
      <t xml:space="preserve">Statistique Personnelles LPCH  </t>
    </r>
    <r>
      <rPr>
        <b/>
        <i/>
        <sz val="10"/>
        <color indexed="12"/>
        <rFont val="Calisto MT"/>
        <family val="1"/>
      </rPr>
      <t>Patrcik B.</t>
    </r>
  </si>
  <si>
    <r>
      <t xml:space="preserve">Statistique Personnelles LPCH  </t>
    </r>
    <r>
      <rPr>
        <b/>
        <i/>
        <sz val="10"/>
        <color indexed="12"/>
        <rFont val="Calisto MT"/>
        <family val="1"/>
      </rPr>
      <t>Maxime</t>
    </r>
  </si>
  <si>
    <t xml:space="preserve">Poti &amp; Michalek </t>
  </si>
  <si>
    <t>Clark &amp; Lucic</t>
  </si>
  <si>
    <t>19/10 à 14h42</t>
  </si>
  <si>
    <t>San Jose</t>
  </si>
  <si>
    <t>Anaheim</t>
  </si>
  <si>
    <t>Libère Brodziak</t>
  </si>
  <si>
    <t>Handzus</t>
  </si>
  <si>
    <t>20/10 à 16h19</t>
  </si>
  <si>
    <t>Bouchard</t>
  </si>
  <si>
    <t>Klesler</t>
  </si>
  <si>
    <t>22/10 à 11h32</t>
  </si>
  <si>
    <t>Bogosian</t>
  </si>
  <si>
    <t>Ranger</t>
  </si>
  <si>
    <t>22/10 à 16h49</t>
  </si>
  <si>
    <t>Gagné</t>
  </si>
  <si>
    <t>Kotalik</t>
  </si>
  <si>
    <t>22/10 à 22h52</t>
  </si>
  <si>
    <t>Libère Steen</t>
  </si>
  <si>
    <t>Simmonds</t>
  </si>
  <si>
    <t>23/10 à 11h32</t>
  </si>
  <si>
    <t>Libère Sterling</t>
  </si>
  <si>
    <t>Vlasic</t>
  </si>
  <si>
    <t>23/10 à 21h08</t>
  </si>
  <si>
    <t>Libère Lepisto</t>
  </si>
  <si>
    <t>Nodl</t>
  </si>
  <si>
    <t>Umberger &amp; Smith</t>
  </si>
  <si>
    <t>Arnott &amp; Leclaire</t>
  </si>
  <si>
    <t>23/10 à 9h25</t>
  </si>
  <si>
    <t>Demitra</t>
  </si>
  <si>
    <t>Fleishmann</t>
  </si>
  <si>
    <t>23/10 à 19h51</t>
  </si>
  <si>
    <t>Lucic</t>
  </si>
  <si>
    <t>24/10 à 19h21</t>
  </si>
  <si>
    <t>24/10 à 19h00</t>
  </si>
  <si>
    <t>Briere</t>
  </si>
  <si>
    <t>M. Koivu</t>
  </si>
  <si>
    <t>24/10 à 21h46</t>
  </si>
  <si>
    <t>Libère Zubrus</t>
  </si>
  <si>
    <t>J. Neal</t>
  </si>
  <si>
    <t>24/10 à 14h</t>
  </si>
  <si>
    <t>25/10 à 9h38</t>
  </si>
  <si>
    <t>Clark</t>
  </si>
  <si>
    <t>25/10 à 20h04</t>
  </si>
  <si>
    <t>Libère Cherapanov</t>
  </si>
  <si>
    <t>Réclame Pouliot</t>
  </si>
  <si>
    <t>25/10 à 22h25</t>
  </si>
  <si>
    <t>Franzen</t>
  </si>
  <si>
    <t>Cleary</t>
  </si>
  <si>
    <t>26/10 à 16h31</t>
  </si>
  <si>
    <t>Langenbrunner</t>
  </si>
  <si>
    <t>Raymond</t>
  </si>
  <si>
    <t>26/10 à 16h19</t>
  </si>
  <si>
    <t>Libère Hamhuis</t>
  </si>
  <si>
    <t>Ehrhoff</t>
  </si>
  <si>
    <t>27/10 à 13h21</t>
  </si>
  <si>
    <t>Libère Kostinen</t>
  </si>
  <si>
    <t>Weight</t>
  </si>
  <si>
    <t>Stamkos</t>
  </si>
  <si>
    <t>Brassard</t>
  </si>
  <si>
    <t>27/10 à 14h07</t>
  </si>
  <si>
    <t>Kostisyn</t>
  </si>
  <si>
    <t>27/10 à 17h07</t>
  </si>
  <si>
    <t>Campoli</t>
  </si>
  <si>
    <t>Burns</t>
  </si>
  <si>
    <t>28/10 à 17h13</t>
  </si>
  <si>
    <t>Pitkanen</t>
  </si>
  <si>
    <t>Johnsson</t>
  </si>
  <si>
    <t>28/10 à 17h03</t>
  </si>
  <si>
    <t>Cole</t>
  </si>
  <si>
    <t>Samuelsson</t>
  </si>
  <si>
    <t>29/10 à 15h12</t>
  </si>
  <si>
    <t>Libère Howard</t>
  </si>
  <si>
    <t>Leopold</t>
  </si>
  <si>
    <t>29/10 à 18h10</t>
  </si>
  <si>
    <t>29/10 à 19h24</t>
  </si>
  <si>
    <t>Horcoff</t>
  </si>
  <si>
    <t>Modano</t>
  </si>
  <si>
    <t>29/10 à 19h46</t>
  </si>
  <si>
    <t>Raison perso</t>
  </si>
  <si>
    <t>Ovechkin</t>
  </si>
  <si>
    <t>Ericksson</t>
  </si>
  <si>
    <t>29/10 à 19h57</t>
  </si>
  <si>
    <t>Libère Pihlstrom</t>
  </si>
  <si>
    <t>Hansen</t>
  </si>
  <si>
    <t>30/10 à 17h00</t>
  </si>
  <si>
    <t>Norrena</t>
  </si>
  <si>
    <t>30/10 à 17h41</t>
  </si>
  <si>
    <t>Huet</t>
  </si>
  <si>
    <t>Toskala</t>
  </si>
  <si>
    <t>30/10 à 17h11</t>
  </si>
  <si>
    <t>30/10 à 8h33</t>
  </si>
  <si>
    <t>Crosby</t>
  </si>
  <si>
    <t>Morrison</t>
  </si>
  <si>
    <t>31/10 à 16h11</t>
  </si>
  <si>
    <t>Boyle</t>
  </si>
  <si>
    <t>01/11 à 9h24</t>
  </si>
  <si>
    <t>Carle</t>
  </si>
  <si>
    <t>Barker</t>
  </si>
  <si>
    <t>01/11 à 9h29</t>
  </si>
  <si>
    <t>01/11 à 15h36</t>
  </si>
  <si>
    <t>Libère Hensick</t>
  </si>
  <si>
    <t>Sbisa</t>
  </si>
  <si>
    <t>01/11 à 19h44</t>
  </si>
  <si>
    <t>01/11 à 18h02</t>
  </si>
  <si>
    <t>Niskanen</t>
  </si>
  <si>
    <t>Aucoin</t>
  </si>
  <si>
    <t>01/11 à 21h45</t>
  </si>
  <si>
    <t>Oshie</t>
  </si>
  <si>
    <t>Brouwer</t>
  </si>
  <si>
    <t>02/11 à 11h17</t>
  </si>
  <si>
    <t>Équipe Junior</t>
  </si>
  <si>
    <t>Libère booth</t>
  </si>
  <si>
    <t>Chimera</t>
  </si>
  <si>
    <t>02/11 à 12h10</t>
  </si>
  <si>
    <t>Libère Perrin</t>
  </si>
  <si>
    <t>Libère Morris</t>
  </si>
  <si>
    <t>Auld</t>
  </si>
  <si>
    <t>Green</t>
  </si>
  <si>
    <t>02/11 à 14h03</t>
  </si>
  <si>
    <t>02/11 à 14h08</t>
  </si>
  <si>
    <t>Nodl &amp; Burns</t>
  </si>
  <si>
    <t>Moller &amp; Sbisa</t>
  </si>
  <si>
    <t>01/11 à 15h53</t>
  </si>
  <si>
    <t>Brodeur</t>
  </si>
  <si>
    <t>Vokoun</t>
  </si>
  <si>
    <t>02/11 à 17h37</t>
  </si>
  <si>
    <t>Stillman</t>
  </si>
  <si>
    <t>Blake</t>
  </si>
  <si>
    <t>03/11 à 22h48</t>
  </si>
  <si>
    <t>Libère Ladd</t>
  </si>
  <si>
    <t>Mitchell</t>
  </si>
  <si>
    <t>04/11 à 16h43</t>
  </si>
  <si>
    <t>Samsonov</t>
  </si>
  <si>
    <t>04/11 à 18h46</t>
  </si>
  <si>
    <t>Ret. Rai. Per.</t>
  </si>
  <si>
    <t>Libère Winchester</t>
  </si>
  <si>
    <t>R. Jones</t>
  </si>
  <si>
    <t>04/11 à 22h55</t>
  </si>
  <si>
    <t>Libère Irving</t>
  </si>
  <si>
    <t>Labarbera</t>
  </si>
  <si>
    <t>Rt. Mineur</t>
  </si>
  <si>
    <t>Stephan</t>
  </si>
  <si>
    <t>06/11 à 13h40</t>
  </si>
  <si>
    <t>Kariya</t>
  </si>
  <si>
    <t>Bertuzzi</t>
  </si>
  <si>
    <t>06/11 à 18h33</t>
  </si>
  <si>
    <t>Kolsig</t>
  </si>
  <si>
    <t>06/11 à 10h20</t>
  </si>
  <si>
    <t>Libère Nodl</t>
  </si>
  <si>
    <t>Quincey</t>
  </si>
  <si>
    <t>06/11 à 14h15</t>
  </si>
  <si>
    <t>Stall</t>
  </si>
  <si>
    <t>06/11 à 18h51</t>
  </si>
  <si>
    <t>06/11 à 19h57</t>
  </si>
  <si>
    <t>Sakic</t>
  </si>
  <si>
    <t>Théodore</t>
  </si>
  <si>
    <t>Budaj</t>
  </si>
  <si>
    <t>Sturm &amp; Ohlund</t>
  </si>
  <si>
    <t>Hecht &amp; Rivet</t>
  </si>
  <si>
    <t>07/11 à 17h09</t>
  </si>
  <si>
    <t>Zubov</t>
  </si>
  <si>
    <t>07/11 à 11h43</t>
  </si>
  <si>
    <t>Libère Mclean</t>
  </si>
  <si>
    <t>Roloson</t>
  </si>
  <si>
    <t>Libère Upshall</t>
  </si>
  <si>
    <t>Weekes</t>
  </si>
  <si>
    <t>08/11 à 17h15</t>
  </si>
  <si>
    <t>Nabokov</t>
  </si>
  <si>
    <t>08/11 à 19h01</t>
  </si>
  <si>
    <t>08/11 à 18h41</t>
  </si>
  <si>
    <t>Sacik</t>
  </si>
  <si>
    <t>08/11 à 17h40</t>
  </si>
  <si>
    <t>Van Ryn</t>
  </si>
  <si>
    <t>Pressing</t>
  </si>
  <si>
    <t>09/11 à 00h15</t>
  </si>
  <si>
    <t>New Jersey</t>
  </si>
  <si>
    <t>Chicago</t>
  </si>
  <si>
    <t>09/11 à 14h59</t>
  </si>
  <si>
    <t>Setoguchi</t>
  </si>
  <si>
    <t>09/11 à 17h59</t>
  </si>
  <si>
    <t>Scheneider</t>
  </si>
  <si>
    <t>Salo</t>
  </si>
  <si>
    <t>09/11 à 21h23</t>
  </si>
  <si>
    <t>Biron, Mueller, Koivu
&amp; Fleisman</t>
  </si>
  <si>
    <t>Legace, Dumont, 
Arnott &amp; Stuart</t>
  </si>
  <si>
    <t>10/11 à 8h40</t>
  </si>
  <si>
    <t>Biron, Mueller, 
Koivu &amp; Fleisman</t>
  </si>
  <si>
    <t>Ajustement</t>
  </si>
  <si>
    <t>Elis à la place de Biron &amp; Kobasew à la place de Fleisman</t>
  </si>
  <si>
    <t>Libère Wagner</t>
  </si>
  <si>
    <t>Grabovski</t>
  </si>
  <si>
    <t>10/11 à 20h26</t>
  </si>
  <si>
    <t>10/11 à 13h50</t>
  </si>
  <si>
    <t>Biron à la place de Kolsig</t>
  </si>
  <si>
    <t>Libère Sillinger</t>
  </si>
  <si>
    <t>Burrows</t>
  </si>
  <si>
    <t>11/11 à 12h34</t>
  </si>
  <si>
    <t>11/11 à 18h29</t>
  </si>
  <si>
    <t xml:space="preserve">Rt. Blessure </t>
  </si>
  <si>
    <t>Kunitz</t>
  </si>
  <si>
    <t>Lethinen</t>
  </si>
  <si>
    <t>11/11 à 22h30</t>
  </si>
  <si>
    <t>Gomez</t>
  </si>
  <si>
    <t>Kessel</t>
  </si>
  <si>
    <t>12/11 à 19h20</t>
  </si>
  <si>
    <t>Deslaurier</t>
  </si>
  <si>
    <t>12/11 à 19h06</t>
  </si>
  <si>
    <t>12/11 à 18h09</t>
  </si>
  <si>
    <t>Parrish</t>
  </si>
  <si>
    <t>12/11 à 19h56</t>
  </si>
  <si>
    <t>12/11 à 19h50</t>
  </si>
  <si>
    <t>Libère Kreps</t>
  </si>
  <si>
    <t>B. Johnson</t>
  </si>
  <si>
    <t>13/11 à 11h14</t>
  </si>
  <si>
    <t>Malone</t>
  </si>
  <si>
    <t>Stempniak</t>
  </si>
  <si>
    <t>13/11 à 12h07</t>
  </si>
  <si>
    <t>13/11 à 20h00</t>
  </si>
  <si>
    <t>14/11 à 13h44</t>
  </si>
  <si>
    <t>Bieska</t>
  </si>
  <si>
    <t>15/11 à 9h37</t>
  </si>
  <si>
    <t>Semin</t>
  </si>
  <si>
    <t>Hornqvist (Grabovski recrue)</t>
  </si>
  <si>
    <t>15/11 à 13h01</t>
  </si>
  <si>
    <t>Libère Simmonds</t>
  </si>
  <si>
    <t>Stajan</t>
  </si>
  <si>
    <t>16/11 à 9h03</t>
  </si>
  <si>
    <t>16/11 à 11h54</t>
  </si>
  <si>
    <t>16/11 à 12h56</t>
  </si>
  <si>
    <t>16/11 à 19h43</t>
  </si>
  <si>
    <t xml:space="preserve">McDonald </t>
  </si>
  <si>
    <t>17/11 à 07h51</t>
  </si>
  <si>
    <t>17/11 à 07h54</t>
  </si>
  <si>
    <t>17/11 à 17h17</t>
  </si>
  <si>
    <t>Edler</t>
  </si>
  <si>
    <t>17/11 à 17h22</t>
  </si>
  <si>
    <t>Fleury</t>
  </si>
  <si>
    <t>Khabibulin</t>
  </si>
  <si>
    <t>17/11 à 21h44</t>
  </si>
  <si>
    <t>Nylander</t>
  </si>
  <si>
    <t>17/11 à 21h01</t>
  </si>
  <si>
    <t>Hulder prend la place de O'Sullivan</t>
  </si>
  <si>
    <t>Pavalski prend la place de Nylander</t>
  </si>
  <si>
    <t>19/11 à 15h04</t>
  </si>
  <si>
    <t>19/11 à 17h54</t>
  </si>
  <si>
    <t>20/11 à 11h58</t>
  </si>
  <si>
    <t>Meszaros</t>
  </si>
  <si>
    <t>Schneider</t>
  </si>
  <si>
    <t>20/11 à 19h17</t>
  </si>
  <si>
    <t>Libère Russel</t>
  </si>
  <si>
    <t>Seidenberg</t>
  </si>
  <si>
    <t>20/11 à 21h04</t>
  </si>
  <si>
    <t>Keith</t>
  </si>
  <si>
    <t>20/11 à 22h22</t>
  </si>
  <si>
    <t>Tuytin</t>
  </si>
  <si>
    <t>21/11 à 9h32</t>
  </si>
  <si>
    <t>Hornqvist (Deslaurier)</t>
  </si>
  <si>
    <t>21/11 à 8h44</t>
  </si>
  <si>
    <t>Garon</t>
  </si>
  <si>
    <t>Morrow</t>
  </si>
  <si>
    <t>V. Kozlov</t>
  </si>
  <si>
    <t>22/11 à 16h04</t>
  </si>
  <si>
    <t>Kronvall</t>
  </si>
  <si>
    <t>22/11 à 21h30</t>
  </si>
  <si>
    <t>Libère Stoll</t>
  </si>
  <si>
    <t>I. White</t>
  </si>
  <si>
    <t>Kesler</t>
  </si>
  <si>
    <t>Antropov</t>
  </si>
  <si>
    <t>23/11 à 09h21</t>
  </si>
  <si>
    <t>Tucker</t>
  </si>
  <si>
    <t>23/11 à 16h38</t>
  </si>
  <si>
    <t>Libère McElhinney</t>
  </si>
  <si>
    <t>23/11 à 19h31</t>
  </si>
  <si>
    <t xml:space="preserve">Hornqvist  </t>
  </si>
  <si>
    <t>23/11 à 20h01</t>
  </si>
  <si>
    <t>24/11 à 19h00</t>
  </si>
  <si>
    <t>Holmstrom</t>
  </si>
  <si>
    <t>Hunter</t>
  </si>
  <si>
    <t>24/11 à 18h34</t>
  </si>
  <si>
    <t>Byfuglien</t>
  </si>
  <si>
    <t>24/11 à 19h49</t>
  </si>
  <si>
    <t>Hagman</t>
  </si>
  <si>
    <t>25/11 à 17h41</t>
  </si>
  <si>
    <t>Bernier</t>
  </si>
  <si>
    <t>25/11 à 19h24</t>
  </si>
  <si>
    <t>Libère Weekes</t>
  </si>
  <si>
    <t>Boucher</t>
  </si>
  <si>
    <t>26/11 à 16h50</t>
  </si>
  <si>
    <t>Libère Beauchemin</t>
  </si>
  <si>
    <t>Ersberg</t>
  </si>
  <si>
    <t>Libère Gerbe</t>
  </si>
  <si>
    <t>Sandford</t>
  </si>
  <si>
    <t>26/11 à 20h32</t>
  </si>
  <si>
    <t>b. Ryan</t>
  </si>
  <si>
    <t>26/11 À 21H11</t>
  </si>
  <si>
    <t>Raison Perso</t>
  </si>
  <si>
    <t>Giguere</t>
  </si>
  <si>
    <t>Hiller</t>
  </si>
  <si>
    <t>27/11 à 16h59</t>
  </si>
  <si>
    <t>Jokinen</t>
  </si>
  <si>
    <t>27/11 à 10h14</t>
  </si>
  <si>
    <t>Luongo</t>
  </si>
  <si>
    <t>27/11 à 10h15</t>
  </si>
  <si>
    <t>R. jones</t>
  </si>
  <si>
    <t>Alzner</t>
  </si>
  <si>
    <t>27/11 à 10h55</t>
  </si>
  <si>
    <t>Tanguay</t>
  </si>
  <si>
    <t>J. Jokinen</t>
  </si>
  <si>
    <t>27/11 à 11h25</t>
  </si>
  <si>
    <t>Horton</t>
  </si>
  <si>
    <t>Christensen</t>
  </si>
  <si>
    <t>28/11 à 16h50</t>
  </si>
  <si>
    <t>28/11 à 8h48</t>
  </si>
  <si>
    <t>Libère Ottawa</t>
  </si>
  <si>
    <t>Vancouver</t>
  </si>
  <si>
    <t>28/11 à 8h18</t>
  </si>
  <si>
    <t>28/11 à 19h05</t>
  </si>
  <si>
    <t>28/11 à 19h41</t>
  </si>
  <si>
    <t>Brunnstrom</t>
  </si>
  <si>
    <t>Mason</t>
  </si>
  <si>
    <t>28/11 à 22h12</t>
  </si>
  <si>
    <t>30/11 à 19h40</t>
  </si>
  <si>
    <t>Ward</t>
  </si>
  <si>
    <t>Thomas</t>
  </si>
  <si>
    <t>01/12 à 15h36</t>
  </si>
  <si>
    <t>Cheechoo</t>
  </si>
  <si>
    <t>01/12 à 00h21</t>
  </si>
  <si>
    <t>Rt. Raison Per</t>
  </si>
  <si>
    <t>01/12 à 19h30</t>
  </si>
  <si>
    <t>Lupul</t>
  </si>
  <si>
    <t>01/12 à 19h02</t>
  </si>
  <si>
    <t xml:space="preserve">Tanguay  </t>
  </si>
  <si>
    <t>02/12 à 13h10</t>
  </si>
  <si>
    <t>02/12 à 17h57</t>
  </si>
  <si>
    <t>02/12 à 19h27</t>
  </si>
  <si>
    <t>02/12 à 14h42</t>
  </si>
  <si>
    <t>Libère Stewart</t>
  </si>
  <si>
    <t>Sabourin</t>
  </si>
  <si>
    <t>02/12 à 19h43</t>
  </si>
  <si>
    <t>03/12 à 17h18</t>
  </si>
  <si>
    <t>Rivet</t>
  </si>
  <si>
    <t>03/12 à 19h24</t>
  </si>
  <si>
    <t>Oduya</t>
  </si>
  <si>
    <t>04/12 à 19h02</t>
  </si>
  <si>
    <t>Libère Christensen</t>
  </si>
  <si>
    <t>Glencross</t>
  </si>
  <si>
    <t>04/12 à 21h00</t>
  </si>
  <si>
    <t>05/12 à 06h43</t>
  </si>
  <si>
    <t>Libère Radulov</t>
  </si>
  <si>
    <t>Sullivan</t>
  </si>
  <si>
    <t>05/12 à 8h36</t>
  </si>
  <si>
    <t>Libère Tucker</t>
  </si>
  <si>
    <t>Lisin</t>
  </si>
  <si>
    <t>05/12 à 18h54</t>
  </si>
  <si>
    <t>05/12 à 20h51</t>
  </si>
  <si>
    <t>Libère Giordano</t>
  </si>
  <si>
    <t>Hunwick</t>
  </si>
  <si>
    <t>05/12 à 21h42</t>
  </si>
  <si>
    <t>05/12 à 16h29</t>
  </si>
  <si>
    <t>Guerin</t>
  </si>
  <si>
    <t>05/12 à 16h30</t>
  </si>
  <si>
    <t>Libère Beach</t>
  </si>
  <si>
    <t>Lepisto</t>
  </si>
  <si>
    <t>05/12 à 16h23</t>
  </si>
  <si>
    <t>Libère Chimera</t>
  </si>
  <si>
    <t>D'agostini</t>
  </si>
  <si>
    <t>Libère Boyle</t>
  </si>
  <si>
    <t>Krejci</t>
  </si>
  <si>
    <t>06/12 à 9h21</t>
  </si>
  <si>
    <t>Filppula</t>
  </si>
  <si>
    <t>Rolston</t>
  </si>
  <si>
    <t>06/12 à 18h38</t>
  </si>
  <si>
    <t>Libère Nilsson</t>
  </si>
  <si>
    <t>Schremp</t>
  </si>
  <si>
    <t>06/12 à 20h51</t>
  </si>
  <si>
    <t>07/12 à 10h14</t>
  </si>
  <si>
    <t>Fleishman</t>
  </si>
  <si>
    <t>07/12 à 11h51</t>
  </si>
  <si>
    <t xml:space="preserve">Stall  </t>
  </si>
  <si>
    <t>06/12 à 19h32</t>
  </si>
  <si>
    <t>Libère Ramo</t>
  </si>
  <si>
    <t>Libère Philips</t>
  </si>
  <si>
    <t>Clemmenson</t>
  </si>
  <si>
    <t>08/12 à 19h23</t>
  </si>
  <si>
    <t>Anderson</t>
  </si>
  <si>
    <t>Redden</t>
  </si>
  <si>
    <t>08/12 à 19h49</t>
  </si>
  <si>
    <t>Libère Stuart</t>
  </si>
  <si>
    <t>09/12 à 09h12</t>
  </si>
  <si>
    <t>10/12 à 18h52</t>
  </si>
  <si>
    <t>10/12 à 21h08</t>
  </si>
  <si>
    <t>Svatos</t>
  </si>
  <si>
    <t>11/12 à 14h55</t>
  </si>
  <si>
    <t>Hamrlik</t>
  </si>
  <si>
    <t>11/12 à 14h54</t>
  </si>
  <si>
    <t>12/12 à 8h08</t>
  </si>
  <si>
    <t>12/12 À 9H26</t>
  </si>
  <si>
    <t>Hecht &amp; Johnsson</t>
  </si>
  <si>
    <t>Holmstrom &amp; Redden</t>
  </si>
  <si>
    <t>12/12 à 14h26</t>
  </si>
  <si>
    <t>13/12 à 10h17</t>
  </si>
  <si>
    <t>S. Kostitsyn</t>
  </si>
  <si>
    <t>13/12 à 01h47</t>
  </si>
  <si>
    <t>13/12 à 13h33</t>
  </si>
  <si>
    <t>Backstom</t>
  </si>
  <si>
    <t>14/12 à 17h04</t>
  </si>
  <si>
    <t>Letang</t>
  </si>
  <si>
    <t>14/12 à 17h05</t>
  </si>
  <si>
    <t>Price</t>
  </si>
  <si>
    <t>15/12 à 06h12</t>
  </si>
  <si>
    <t>15/12 à 9h27</t>
  </si>
  <si>
    <t>Libere Mitchell</t>
  </si>
  <si>
    <t>Valarmov</t>
  </si>
  <si>
    <t>16/12 à 10h14</t>
  </si>
  <si>
    <t>Bergeron &amp; St-louis</t>
  </si>
  <si>
    <t>Nylander &amp; Raymond</t>
  </si>
  <si>
    <t>16/12 à 18h27</t>
  </si>
  <si>
    <t>16/12 à 18h56</t>
  </si>
  <si>
    <t>17/12 à 09h08</t>
  </si>
  <si>
    <t>Afinogenov</t>
  </si>
  <si>
    <t>18/12 à 06h31</t>
  </si>
  <si>
    <t xml:space="preserve">Biron </t>
  </si>
  <si>
    <t>18/12 à 11h54</t>
  </si>
  <si>
    <t>Raymond &amp; Bernire</t>
  </si>
  <si>
    <t>St-Louis &amp; Booth</t>
  </si>
  <si>
    <t>18/12 à 18h13</t>
  </si>
  <si>
    <t>Berglund</t>
  </si>
  <si>
    <t>18/12 à 19h02</t>
  </si>
  <si>
    <t>Libère Stralman</t>
  </si>
  <si>
    <t>Wisniewski</t>
  </si>
  <si>
    <t>19/12 à 06h49</t>
  </si>
  <si>
    <t>19/12 à 11h01</t>
  </si>
  <si>
    <t>19/12 à 16h31</t>
  </si>
  <si>
    <t>19/12 à 08h00</t>
  </si>
  <si>
    <t>Vlasic prend la place de Sbisa laissé vacant</t>
  </si>
  <si>
    <t>20/12 à 14h00</t>
  </si>
  <si>
    <t>20/12 à 15h04</t>
  </si>
  <si>
    <t>Kostitsyn &amp; Hamrlik</t>
  </si>
  <si>
    <t>Hagman &amp; Schneider</t>
  </si>
  <si>
    <t>20/12 à 19h24</t>
  </si>
  <si>
    <t>21/12 à 00h51</t>
  </si>
  <si>
    <t>Libère Kolsig</t>
  </si>
  <si>
    <t>Selanne</t>
  </si>
  <si>
    <t>21/12 à 14h29</t>
  </si>
  <si>
    <t>22/12 à 13h37</t>
  </si>
  <si>
    <t>boucher</t>
  </si>
  <si>
    <t>Whitney</t>
  </si>
  <si>
    <t>23/12 à 16h36</t>
  </si>
  <si>
    <t>Osgood</t>
  </si>
  <si>
    <t>Coklin</t>
  </si>
  <si>
    <t>22/12 à 13h39</t>
  </si>
  <si>
    <t>23/12 à 17h06</t>
  </si>
  <si>
    <t>Jones</t>
  </si>
  <si>
    <t>23/12 à 11h00</t>
  </si>
  <si>
    <t>Libère Vrbata</t>
  </si>
  <si>
    <t>Ladd</t>
  </si>
  <si>
    <t>23/12 à 11h30</t>
  </si>
  <si>
    <t>Legwand</t>
  </si>
  <si>
    <t>23/12 à 19h04</t>
  </si>
  <si>
    <t>Kuba</t>
  </si>
  <si>
    <t>24/12 à 14h11</t>
  </si>
  <si>
    <t>Libère Zubov</t>
  </si>
  <si>
    <t>J. Williams</t>
  </si>
  <si>
    <t>25/12 à 16h53</t>
  </si>
  <si>
    <t>25/12 à 19h15</t>
  </si>
  <si>
    <t xml:space="preserve">Biron  </t>
  </si>
  <si>
    <t>26/12 à 12h49</t>
  </si>
  <si>
    <t>Stastny</t>
  </si>
  <si>
    <t>26/12 à 19h39</t>
  </si>
  <si>
    <t>26/12 à 21h25</t>
  </si>
  <si>
    <t>Hartnell, Modano,
Ohlund, Ballard et
choix 4e ronde 2009</t>
  </si>
  <si>
    <t>Stajan, Stempiniak
Keith, Norrena</t>
  </si>
  <si>
    <t>26/12 à 23h40</t>
  </si>
  <si>
    <t>Dougthy à la place de Ballard et Neal à la place de Dougthy</t>
  </si>
  <si>
    <t>26-12-2008</t>
  </si>
  <si>
    <t>Stajan, Stempniak
Keith &amp; Norrena</t>
  </si>
  <si>
    <t>Hartnell, Modano,
Ohlund, Ballard &amp;
choix 4e ronde 2009</t>
  </si>
  <si>
    <t>27/12 à 16h27</t>
  </si>
  <si>
    <t>Perron</t>
  </si>
  <si>
    <t>Blake &amp; Prospal</t>
  </si>
  <si>
    <t>Stillman &amp; Cheechoo</t>
  </si>
  <si>
    <t>27/12 à 18h38</t>
  </si>
  <si>
    <t>Libère Paille</t>
  </si>
  <si>
    <t>McDonagh</t>
  </si>
  <si>
    <t>27/12 à 18h44</t>
  </si>
  <si>
    <t>Wellwood</t>
  </si>
  <si>
    <t>28/12 à 13h00</t>
  </si>
  <si>
    <t>Rosival</t>
  </si>
  <si>
    <t>28/12 à 13h04</t>
  </si>
  <si>
    <t>28/12 à 11h48</t>
  </si>
  <si>
    <t>A. Kostitsyn</t>
  </si>
  <si>
    <t>29/12 à 13h12</t>
  </si>
  <si>
    <t>Libère Niemi</t>
  </si>
  <si>
    <t>Quick</t>
  </si>
  <si>
    <t>30/12 à 13h12</t>
  </si>
  <si>
    <t>30/12 à 20h08</t>
  </si>
  <si>
    <t>30/12 à 20h23</t>
  </si>
  <si>
    <t>30/12 à 20h30</t>
  </si>
  <si>
    <t>Rt.blessure</t>
  </si>
  <si>
    <t>Williams</t>
  </si>
  <si>
    <t>T.J. Oshie</t>
  </si>
  <si>
    <t>31/12 à 8h14</t>
  </si>
  <si>
    <t>Rt.Blessure</t>
  </si>
  <si>
    <t>31/12 à 10h41</t>
  </si>
  <si>
    <t>Hunter &amp; Hemsky</t>
  </si>
  <si>
    <t>Stempniak &amp; Kotalik</t>
  </si>
  <si>
    <t>31/12 à 18h33</t>
  </si>
  <si>
    <t>31/12 à 18h38</t>
  </si>
  <si>
    <t>Lidstrom</t>
  </si>
  <si>
    <t>31/12 à 20h09</t>
  </si>
  <si>
    <t>Bryzgalov</t>
  </si>
  <si>
    <t>31/12 à 20h16</t>
  </si>
  <si>
    <t>01/01 à 14h06</t>
  </si>
  <si>
    <t xml:space="preserve">Lisdtrom  </t>
  </si>
  <si>
    <t>01/01 à 12h56</t>
  </si>
  <si>
    <t>Price, Tanguay &amp; Sandford</t>
  </si>
  <si>
    <t>Labarbera, Kostitsyn &amp; Dipietro</t>
  </si>
  <si>
    <t>02/01 à 16h47</t>
  </si>
  <si>
    <t>Laich</t>
  </si>
  <si>
    <t>03/01 à 19h27</t>
  </si>
  <si>
    <t>03/01 à 19h30</t>
  </si>
  <si>
    <t>Suspendu</t>
  </si>
  <si>
    <t>Perry</t>
  </si>
  <si>
    <t>04/01 à 17h00</t>
  </si>
  <si>
    <t>04/01 à 20h15</t>
  </si>
  <si>
    <t>Libère Norrena</t>
  </si>
  <si>
    <t>Y. Weber</t>
  </si>
  <si>
    <t>05/01 à 14h21</t>
  </si>
  <si>
    <t>Kane</t>
  </si>
  <si>
    <t>06/01 à 8h35</t>
  </si>
  <si>
    <t>Bolland</t>
  </si>
  <si>
    <t>06/01 à 17h14</t>
  </si>
  <si>
    <t>06/01 à 8h30</t>
  </si>
  <si>
    <t>Recchi</t>
  </si>
  <si>
    <t>06/01 à 16h27</t>
  </si>
  <si>
    <t>06/01 à 21h23</t>
  </si>
  <si>
    <t>05/01 à 11h18</t>
  </si>
  <si>
    <t>02/01 à 21h30</t>
  </si>
  <si>
    <t>08/01 à 21h00</t>
  </si>
  <si>
    <t>Weber</t>
  </si>
  <si>
    <t>08/01 à 19h55</t>
  </si>
  <si>
    <t xml:space="preserve">Stajan  </t>
  </si>
  <si>
    <t>10/01 à 15h49</t>
  </si>
  <si>
    <t>Rt. Suspension</t>
  </si>
  <si>
    <t>10/01 à 17h12</t>
  </si>
  <si>
    <t>10/01 à 18h16</t>
  </si>
  <si>
    <t>Goligoski</t>
  </si>
  <si>
    <t>Pacioretty</t>
  </si>
  <si>
    <t>10/01 à 18h10</t>
  </si>
  <si>
    <t>Bergeron &amp; Nash</t>
  </si>
  <si>
    <t>Boucher &amp; Kennedy</t>
  </si>
  <si>
    <t>11/01 à 8h00</t>
  </si>
  <si>
    <t>Kulemin</t>
  </si>
  <si>
    <t>11/01 à 16h27</t>
  </si>
  <si>
    <t>12/01 à 21h51</t>
  </si>
  <si>
    <t>White</t>
  </si>
  <si>
    <t>13/01 à 10h24</t>
  </si>
  <si>
    <t>Frolik</t>
  </si>
  <si>
    <t>13/01 à 17h53</t>
  </si>
  <si>
    <t>Libère Avery</t>
  </si>
  <si>
    <t>Shanahan</t>
  </si>
  <si>
    <t>13/01 à 8h31</t>
  </si>
  <si>
    <t>14/01 à 19h23</t>
  </si>
  <si>
    <t xml:space="preserve">Barker  </t>
  </si>
  <si>
    <t>14/01 à 15h46</t>
  </si>
  <si>
    <t>15/01 à 20h29</t>
  </si>
  <si>
    <t xml:space="preserve">Clark  </t>
  </si>
  <si>
    <t>15/01 à 20h31</t>
  </si>
  <si>
    <t>16/01 à 8h30</t>
  </si>
  <si>
    <t xml:space="preserve">Zajac prend la place de Brind'Amour </t>
  </si>
  <si>
    <t>16/01 à 16h55</t>
  </si>
  <si>
    <t>Glencross &amp; Bolland</t>
  </si>
  <si>
    <t>Lupul &amp; Little</t>
  </si>
  <si>
    <t>16/01 à 19h23</t>
  </si>
  <si>
    <t>Libère Sturm</t>
  </si>
  <si>
    <t>Elliott</t>
  </si>
  <si>
    <t>16/01 à 22h22</t>
  </si>
  <si>
    <t>09/01 à 22h05</t>
  </si>
  <si>
    <t>Neal</t>
  </si>
  <si>
    <t>17/01 à 18h21</t>
  </si>
  <si>
    <t>17/01 à 22h17</t>
  </si>
  <si>
    <t>Sekeras</t>
  </si>
  <si>
    <t>18/01 à 9h45</t>
  </si>
  <si>
    <t>18/01 à 16h31</t>
  </si>
  <si>
    <t>Brouwmer (Oshie sa place)</t>
  </si>
  <si>
    <t>19/01 à 13h00</t>
  </si>
  <si>
    <t>Nash</t>
  </si>
  <si>
    <t>19/01 à 06h31</t>
  </si>
  <si>
    <t>20/01 à 7h47</t>
  </si>
  <si>
    <t>20/01 à 14h58</t>
  </si>
  <si>
    <t>Keith &amp; Hunter</t>
  </si>
  <si>
    <t>Doughty &amp; Latendresse</t>
  </si>
  <si>
    <t>20/01 à 15h47</t>
  </si>
  <si>
    <t>Stempiniak</t>
  </si>
  <si>
    <t>Hemsky</t>
  </si>
  <si>
    <t>Dipietro</t>
  </si>
  <si>
    <t>20/01 à 22h00</t>
  </si>
  <si>
    <t>21/01 à 17h37</t>
  </si>
  <si>
    <t>Modin</t>
  </si>
  <si>
    <t>21/01 à 17h52</t>
  </si>
  <si>
    <t>21/01 à 22h00</t>
  </si>
  <si>
    <t>J. Stoll</t>
  </si>
  <si>
    <t xml:space="preserve">24/01 à 20h23 </t>
  </si>
  <si>
    <t>Campoli &amp; Versteeg</t>
  </si>
  <si>
    <t>Kaberle &amp; Goligoski</t>
  </si>
  <si>
    <t>27/01 à 15h19</t>
  </si>
  <si>
    <t>27/01 à 18h45</t>
  </si>
  <si>
    <t>27/01 à 18h46</t>
  </si>
  <si>
    <t>28/01 à 17h26</t>
  </si>
  <si>
    <t>28/01 à 20h33</t>
  </si>
  <si>
    <t>Versteeg</t>
  </si>
  <si>
    <t>28/01 à 21h41</t>
  </si>
  <si>
    <t>29/01 à 16h00</t>
  </si>
  <si>
    <t>29/01 à 18h42</t>
  </si>
  <si>
    <t>Korpikoski</t>
  </si>
  <si>
    <t>30/01 à 19h53</t>
  </si>
  <si>
    <t>Mueller</t>
  </si>
  <si>
    <t>Cogliano</t>
  </si>
  <si>
    <t>30/01 à 18h51</t>
  </si>
  <si>
    <t>31/01 à 01h19</t>
  </si>
  <si>
    <t>Stamkos (Ryan à la place)</t>
  </si>
  <si>
    <t>31/01 à 07h48</t>
  </si>
  <si>
    <t>31/01 à 17h45</t>
  </si>
  <si>
    <t>Plekanek</t>
  </si>
  <si>
    <t>Weiss</t>
  </si>
  <si>
    <t>31/01 à 18h59</t>
  </si>
  <si>
    <t>Booth &amp; Seidenberg</t>
  </si>
  <si>
    <t>Raymond &amp; Wisniswski</t>
  </si>
  <si>
    <t>31/01 à 19h55</t>
  </si>
  <si>
    <t>Libère Sanford</t>
  </si>
  <si>
    <t>Rask</t>
  </si>
  <si>
    <t>02/02 à 15h51</t>
  </si>
  <si>
    <t>02/02 à 14h45</t>
  </si>
  <si>
    <t>Kaberle &amp; Spacek</t>
  </si>
  <si>
    <t>Oduya &amp; Niskanen</t>
  </si>
  <si>
    <t>02/02 à 21h49</t>
  </si>
  <si>
    <t>Libère Brewer &amp; Pouliot</t>
  </si>
  <si>
    <t>A. Picard &amp; Schenn</t>
  </si>
  <si>
    <t>03/02 à 11h26</t>
  </si>
  <si>
    <t>Verteeg</t>
  </si>
  <si>
    <t>03/02 à 14h04</t>
  </si>
  <si>
    <t>03/02 à 18h15</t>
  </si>
  <si>
    <t xml:space="preserve">Stempniak  </t>
  </si>
  <si>
    <t>04/02 à 18h20</t>
  </si>
  <si>
    <t>03/02 à 18h40</t>
  </si>
  <si>
    <t>Samsonov &amp; Little</t>
  </si>
  <si>
    <t>Selanne &amp; Connoly</t>
  </si>
  <si>
    <t>04/02 à 19h26</t>
  </si>
  <si>
    <t>Richard</t>
  </si>
  <si>
    <t>05/02 à 14h07</t>
  </si>
  <si>
    <t>Visnovsky</t>
  </si>
  <si>
    <t>05/02 à 14h26</t>
  </si>
  <si>
    <t>05/02 à 18h30</t>
  </si>
  <si>
    <t>Libere Harrold</t>
  </si>
  <si>
    <t>Leino</t>
  </si>
  <si>
    <t>05/02 à 12h13</t>
  </si>
  <si>
    <t>Spacek</t>
  </si>
  <si>
    <t>05/02 à 19h26</t>
  </si>
  <si>
    <t>Edm</t>
  </si>
  <si>
    <t>Sam Gagner</t>
  </si>
  <si>
    <t>07/02 à 15h12</t>
  </si>
  <si>
    <t>07/02 à 13h05</t>
  </si>
  <si>
    <t>Gagne</t>
  </si>
  <si>
    <t>Brunstrom</t>
  </si>
  <si>
    <t>07/02 à 22h10</t>
  </si>
  <si>
    <t>Libère Skille</t>
  </si>
  <si>
    <t>C. Mason</t>
  </si>
  <si>
    <t>08/02 à 19h52</t>
  </si>
  <si>
    <t>09/02 à 16h46</t>
  </si>
  <si>
    <t>Lepisto (D'Agostini)</t>
  </si>
  <si>
    <t>Armstromg</t>
  </si>
  <si>
    <t>Vanek</t>
  </si>
  <si>
    <t>Prospal</t>
  </si>
  <si>
    <t>09/02 à 00h31</t>
  </si>
  <si>
    <t>09/02 à 23h42</t>
  </si>
  <si>
    <t>Libère Higgins</t>
  </si>
  <si>
    <t>R. Bourque</t>
  </si>
  <si>
    <t>10/02 à 07h32</t>
  </si>
  <si>
    <t>McDonald</t>
  </si>
  <si>
    <t>10/02 à 20h26</t>
  </si>
  <si>
    <t>10/02 à 20h03</t>
  </si>
  <si>
    <t>11/02 à 13h19</t>
  </si>
  <si>
    <t>11/02 à 21h11</t>
  </si>
  <si>
    <t>Kobasew</t>
  </si>
  <si>
    <t>Vermette</t>
  </si>
  <si>
    <t>11/02 à 17h37</t>
  </si>
  <si>
    <t>S. Gagne</t>
  </si>
  <si>
    <t>Richards</t>
  </si>
  <si>
    <t>12/02 à 19h00</t>
  </si>
  <si>
    <t>12/02 à 20h09</t>
  </si>
  <si>
    <t>Stoll</t>
  </si>
  <si>
    <t>12/02 à 19h44</t>
  </si>
  <si>
    <t>Rangers, Hemsky, 
Hunter, Neal &amp;
3e choix 2009</t>
  </si>
  <si>
    <t>New Jersey, Kopitar, 
Jokinen, Kubina &amp; 
10e choix 2009</t>
  </si>
  <si>
    <t>13/02 à 15h32</t>
  </si>
  <si>
    <t>Hemsky à la place de Kostitsyn, Hunter à la place de Samuelson
Neal à la place de Giroux, Plekanek prend la place de Kopitar
Martin celle de Kubina</t>
  </si>
  <si>
    <t>Dubinsky</t>
  </si>
  <si>
    <t>13/02 à 18h51</t>
  </si>
  <si>
    <t>Rangers, Hemsky, 
Hunter, Neal 
&amp; 3e choix 2009</t>
  </si>
  <si>
    <t>New Jersey, Kopitar
Jokinen, Kubina
&amp; 10e choix 2009</t>
  </si>
  <si>
    <t>Kubina à la place de Doughty, Jokinen à la place de Hunter
Kotalik à la place de Hemsky, Kopitar à la place de Neal</t>
  </si>
  <si>
    <t>13/02 à 18h13</t>
  </si>
  <si>
    <t>Leino &amp; Byfuglien</t>
  </si>
  <si>
    <t>Semin &amp; Gonchar</t>
  </si>
  <si>
    <t>14/02 à 18h09</t>
  </si>
  <si>
    <t>14/02 à 19h12</t>
  </si>
  <si>
    <t>13/02 à 22h00</t>
  </si>
  <si>
    <t>15/02 à 17h58</t>
  </si>
  <si>
    <t>Turco &amp; Lang</t>
  </si>
  <si>
    <t>Ellis, Brière &amp; 2e choix 09</t>
  </si>
  <si>
    <t>15/02 à 23h45</t>
  </si>
  <si>
    <t>2e choix</t>
  </si>
  <si>
    <t>15/02 à 22h36</t>
  </si>
  <si>
    <t>16/02 à 18h44</t>
  </si>
  <si>
    <t>17/02 à 16h02</t>
  </si>
  <si>
    <t>Kovalev</t>
  </si>
  <si>
    <t>17/02 à 18h19</t>
  </si>
  <si>
    <t>18/02 à 19h09</t>
  </si>
  <si>
    <t>Vancouver, Jones,
Jovanovski, Brunette
J. Williams</t>
  </si>
  <si>
    <t>18/02 à 13h38</t>
  </si>
  <si>
    <r>
      <t xml:space="preserve">Philadelphie, Seidenberg
Lee, Brunstrom, Vermette
et </t>
    </r>
    <r>
      <rPr>
        <sz val="10"/>
        <color indexed="10"/>
        <rFont val="Calisto MT"/>
        <family val="1"/>
      </rPr>
      <t>10e choix 2009</t>
    </r>
  </si>
  <si>
    <r>
      <t xml:space="preserve">Ellis, Brière &amp; </t>
    </r>
    <r>
      <rPr>
        <sz val="10"/>
        <color indexed="10"/>
        <rFont val="Calisto MT"/>
        <family val="1"/>
      </rPr>
      <t>2e choix 09</t>
    </r>
  </si>
  <si>
    <t>Vancouver, Jones, 
Jovanovski, Brunette
J. Williams</t>
  </si>
  <si>
    <t>Philadelphie, Seidenberg
Lee, Brunstrom
Vermette &amp; 10e choix 09</t>
  </si>
  <si>
    <t>Sharp &amp; Liles</t>
  </si>
  <si>
    <t>Samuelsson &amp; Hamrlik</t>
  </si>
  <si>
    <t>18/02 à 9h45</t>
  </si>
  <si>
    <t>Rt. Suspendu</t>
  </si>
  <si>
    <t>20/02 à 16h11</t>
  </si>
  <si>
    <t>Brunette</t>
  </si>
  <si>
    <t>21/02 à 19h47</t>
  </si>
  <si>
    <t>23/02 à 19h46</t>
  </si>
  <si>
    <t>Poti, Visnovsky, Satan
&amp; Halak</t>
  </si>
  <si>
    <t>Ballard, Kuba, Girardi
&amp; Cogliano</t>
  </si>
  <si>
    <t>24/02 à 16h59</t>
  </si>
  <si>
    <t>Poti, Visnovsky, 
Satan &amp; Halak</t>
  </si>
  <si>
    <t>25/02 à 10h06</t>
  </si>
  <si>
    <t>Whitney &amp; Crosby</t>
  </si>
  <si>
    <t>25/02 à 18h01</t>
  </si>
  <si>
    <t>26/02 à 12h01</t>
  </si>
  <si>
    <t>Ellis</t>
  </si>
  <si>
    <t>Clemmensen</t>
  </si>
  <si>
    <t>26/02 à 16h15</t>
  </si>
  <si>
    <t>Libère Jones &amp; Williams</t>
  </si>
  <si>
    <t>Crawfort &amp; Niemi</t>
  </si>
  <si>
    <t>27/02 à 18h56</t>
  </si>
  <si>
    <t>28/02 à 16h18</t>
  </si>
  <si>
    <t>Rt Blessure</t>
  </si>
  <si>
    <t>Erstrom</t>
  </si>
  <si>
    <t>28/02 à 11h00</t>
  </si>
  <si>
    <t>28/02 à 22h54</t>
  </si>
  <si>
    <t>02/03 à 9h18</t>
  </si>
  <si>
    <t>Liles</t>
  </si>
  <si>
    <t>02/03 à 17h44</t>
  </si>
  <si>
    <t>Bolland &amp; 16e choix</t>
  </si>
  <si>
    <t>Goligoski &amp; 9e choix</t>
  </si>
  <si>
    <t>02/03 à 15h00</t>
  </si>
  <si>
    <t>Goligoski &amp; 16e choix</t>
  </si>
  <si>
    <t>Bolland &amp; 9e choix</t>
  </si>
  <si>
    <t>Libère Kaberle</t>
  </si>
  <si>
    <t>Vanriemsky</t>
  </si>
  <si>
    <t>02/03 à 17h19</t>
  </si>
  <si>
    <t>03/03 à 12h46</t>
  </si>
  <si>
    <t>03/03 à 19h26</t>
  </si>
  <si>
    <t>03/03 à 21h41</t>
  </si>
  <si>
    <t>04/03 à 19h31</t>
  </si>
  <si>
    <t>Ruutu</t>
  </si>
  <si>
    <t>04/03 à 11h00</t>
  </si>
  <si>
    <t>Libère Sabourin</t>
  </si>
  <si>
    <t>Lalime</t>
  </si>
  <si>
    <t>05/03 à 23h59</t>
  </si>
  <si>
    <t>Miller</t>
  </si>
  <si>
    <t>05/03 à 15h56</t>
  </si>
  <si>
    <t>Nabokov &amp; Hossa</t>
  </si>
  <si>
    <t>Boucher &amp; Cogliano</t>
  </si>
  <si>
    <t>05/03 à 14h16</t>
  </si>
  <si>
    <t>Libère Johnson</t>
  </si>
  <si>
    <t>Eminger</t>
  </si>
  <si>
    <t xml:space="preserve">Libère Weber </t>
  </si>
  <si>
    <t>Libère Wellwood</t>
  </si>
  <si>
    <t>Nolan</t>
  </si>
  <si>
    <t>Ebbet</t>
  </si>
  <si>
    <t>06/03 à 16h29</t>
  </si>
  <si>
    <t>06/03 à 8h42</t>
  </si>
  <si>
    <t>08/03 à 11h30</t>
  </si>
  <si>
    <t>08/03 à 20h53</t>
  </si>
  <si>
    <t xml:space="preserve">Kaberle  </t>
  </si>
  <si>
    <t>09/03 à 21h52</t>
  </si>
  <si>
    <t>10/03 à 17h53</t>
  </si>
  <si>
    <t xml:space="preserve">Horton &amp; Burns </t>
  </si>
  <si>
    <t>Glencross &amp; Letang</t>
  </si>
  <si>
    <t>10/03 à 19h14</t>
  </si>
  <si>
    <t>11/03 à 17h23</t>
  </si>
  <si>
    <t>11/03 à 16h37</t>
  </si>
  <si>
    <t>Havlat &amp; Pitkanen</t>
  </si>
  <si>
    <t>Nolan &amp; Eminger</t>
  </si>
  <si>
    <t>12/03 à 15h37</t>
  </si>
  <si>
    <t>Kovalev &amp; Arnott</t>
  </si>
  <si>
    <t>Brunette &amp; legwand</t>
  </si>
  <si>
    <t>12/03 à 19h28</t>
  </si>
  <si>
    <t xml:space="preserve">Holmstrom  </t>
  </si>
  <si>
    <t>12/03 à 23h33</t>
  </si>
</sst>
</file>

<file path=xl/styles.xml><?xml version="1.0" encoding="utf-8"?>
<styleSheet xmlns="http://schemas.openxmlformats.org/spreadsheetml/2006/main">
  <numFmts count="5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0"/>
    <numFmt numFmtId="181" formatCode="0.00000"/>
    <numFmt numFmtId="182" formatCode="0.0000"/>
    <numFmt numFmtId="183" formatCode="0.000"/>
    <numFmt numFmtId="184" formatCode="0.00000000"/>
    <numFmt numFmtId="185" formatCode="0.0000000"/>
    <numFmt numFmtId="186" formatCode="0.0"/>
    <numFmt numFmtId="187" formatCode="0.0E+00;\ĝ"/>
    <numFmt numFmtId="188" formatCode="0.0E+00;\࣐"/>
    <numFmt numFmtId="189" formatCode="0.00E+00;\࣐"/>
    <numFmt numFmtId="190" formatCode="0.000E+00;\࣐"/>
    <numFmt numFmtId="191" formatCode="0E+00;\࣐"/>
    <numFmt numFmtId="192" formatCode="0.0000E+00;\࣐"/>
    <numFmt numFmtId="193" formatCode="0.00000E+00;\࣐"/>
    <numFmt numFmtId="194" formatCode="0.000000E+00;\࣐"/>
    <numFmt numFmtId="195" formatCode="0.0000000E+00;\࣐"/>
    <numFmt numFmtId="196" formatCode="0.00000000E+00;\࣐"/>
    <numFmt numFmtId="197" formatCode="0.000000000E+00;\࣐"/>
    <numFmt numFmtId="198" formatCode="0.0000000000E+00;\࣐"/>
    <numFmt numFmtId="199" formatCode="0.00000000000E+00;\࣐"/>
    <numFmt numFmtId="200" formatCode="0.000000000000E+00;\࣐"/>
    <numFmt numFmtId="201" formatCode="#,##0.00_);\(#,##0.00\)"/>
    <numFmt numFmtId="202" formatCode="#,##0.000_);\(#,##0.000\)"/>
    <numFmt numFmtId="203" formatCode="#,##0.0_);\(#,##0.0\)"/>
    <numFmt numFmtId="204" formatCode="_-* #,##0.00\ [$€-1]_-;_-* #,##0.00\ [$€-1]\-;_-* &quot;-&quot;??\ [$€-1]_-"/>
    <numFmt numFmtId="205" formatCode="0.000000000"/>
    <numFmt numFmtId="206" formatCode="0.0000000000"/>
    <numFmt numFmtId="207" formatCode="0.00000000000"/>
    <numFmt numFmtId="208" formatCode="&quot;Vrai&quot;;&quot;Vrai&quot;;&quot;Faux&quot;"/>
    <numFmt numFmtId="209" formatCode="&quot;Actif&quot;;&quot;Actif&quot;;&quot;Inactif&quot;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Calisto MT"/>
      <family val="1"/>
    </font>
    <font>
      <b/>
      <sz val="10"/>
      <name val="Calisto MT"/>
      <family val="1"/>
    </font>
    <font>
      <b/>
      <sz val="10"/>
      <color indexed="10"/>
      <name val="Calisto MT"/>
      <family val="1"/>
    </font>
    <font>
      <b/>
      <sz val="10"/>
      <color indexed="12"/>
      <name val="Calisto MT"/>
      <family val="1"/>
    </font>
    <font>
      <b/>
      <sz val="10"/>
      <color indexed="57"/>
      <name val="Calisto MT"/>
      <family val="1"/>
    </font>
    <font>
      <i/>
      <sz val="10"/>
      <color indexed="18"/>
      <name val="Calisto MT"/>
      <family val="1"/>
    </font>
    <font>
      <b/>
      <i/>
      <sz val="10"/>
      <color indexed="57"/>
      <name val="Calisto MT"/>
      <family val="1"/>
    </font>
    <font>
      <sz val="10"/>
      <color indexed="18"/>
      <name val="Calisto MT"/>
      <family val="1"/>
    </font>
    <font>
      <b/>
      <i/>
      <sz val="10"/>
      <name val="Calisto MT"/>
      <family val="1"/>
    </font>
    <font>
      <b/>
      <i/>
      <sz val="10"/>
      <color indexed="18"/>
      <name val="Calisto MT"/>
      <family val="1"/>
    </font>
    <font>
      <b/>
      <i/>
      <sz val="10"/>
      <color indexed="17"/>
      <name val="Calisto MT"/>
      <family val="1"/>
    </font>
    <font>
      <b/>
      <i/>
      <sz val="10"/>
      <color indexed="61"/>
      <name val="Calisto MT"/>
      <family val="1"/>
    </font>
    <font>
      <sz val="10"/>
      <color indexed="10"/>
      <name val="Calisto MT"/>
      <family val="1"/>
    </font>
    <font>
      <b/>
      <i/>
      <sz val="10"/>
      <color indexed="10"/>
      <name val="Calisto MT"/>
      <family val="1"/>
    </font>
    <font>
      <sz val="10"/>
      <name val="Comic Sans MS"/>
      <family val="4"/>
    </font>
    <font>
      <u val="single"/>
      <sz val="10"/>
      <name val="Arial"/>
      <family val="0"/>
    </font>
    <font>
      <b/>
      <i/>
      <sz val="10"/>
      <color indexed="12"/>
      <name val="Calisto MT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 style="mediumDashed"/>
      <top style="mediumDashed"/>
      <bottom style="double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dashed"/>
      <right style="dashDot"/>
      <top style="dashed"/>
      <bottom style="double"/>
    </border>
    <border>
      <left style="dashDot"/>
      <right style="dashDot"/>
      <top style="dashed"/>
      <bottom style="double"/>
    </border>
    <border>
      <left style="dashDot"/>
      <right style="dashed"/>
      <top style="dashed"/>
      <bottom style="double"/>
    </border>
    <border>
      <left style="thin"/>
      <right style="dashDot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ashDot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ashDot"/>
      <right style="dashDot"/>
      <top style="mediumDashed"/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ashDot"/>
      <top style="thin"/>
      <bottom style="mediumDash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Dot"/>
      <bottom style="dashDot"/>
    </border>
    <border>
      <left style="mediumDashed"/>
      <right>
        <color indexed="63"/>
      </right>
      <top style="dashDot"/>
      <bottom style="dashDot"/>
    </border>
    <border>
      <left style="thin"/>
      <right style="thin"/>
      <top style="thin"/>
      <bottom style="mediumDashDotDot"/>
    </border>
    <border>
      <left style="mediumDashed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dashDot"/>
    </border>
    <border>
      <left>
        <color indexed="63"/>
      </left>
      <right style="mediumDashed"/>
      <top>
        <color indexed="63"/>
      </top>
      <bottom style="medium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mediumDashed"/>
      <top style="dashDot"/>
      <bottom style="dash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Dashed"/>
      <right style="mediumDashed"/>
      <top style="medium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ashDot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ashDot"/>
      <right style="thin"/>
      <top style="double"/>
      <bottom>
        <color indexed="63"/>
      </bottom>
    </border>
    <border>
      <left style="dashDot"/>
      <right style="thin"/>
      <top style="thin"/>
      <bottom>
        <color indexed="63"/>
      </bottom>
    </border>
    <border>
      <left style="dashDot"/>
      <right style="thin"/>
      <top>
        <color indexed="63"/>
      </top>
      <bottom style="medium"/>
    </border>
    <border>
      <left style="dashDot"/>
      <right style="thin"/>
      <top style="double"/>
      <bottom style="thin"/>
    </border>
    <border>
      <left style="dashDot"/>
      <right style="thin"/>
      <top>
        <color indexed="63"/>
      </top>
      <bottom>
        <color indexed="63"/>
      </bottom>
    </border>
    <border>
      <left style="dashDot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thin"/>
      <top style="thin"/>
      <bottom style="medium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83" fontId="4" fillId="0" borderId="5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83" fontId="4" fillId="0" borderId="14" xfId="0" applyNumberFormat="1" applyFont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83" fontId="4" fillId="0" borderId="17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183" fontId="4" fillId="0" borderId="14" xfId="0" applyNumberFormat="1" applyFont="1" applyFill="1" applyBorder="1" applyAlignment="1">
      <alignment horizontal="center"/>
    </xf>
    <xf numFmtId="183" fontId="4" fillId="0" borderId="17" xfId="0" applyNumberFormat="1" applyFont="1" applyFill="1" applyBorder="1" applyAlignment="1">
      <alignment horizontal="center"/>
    </xf>
    <xf numFmtId="0" fontId="4" fillId="0" borderId="14" xfId="0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183" fontId="4" fillId="0" borderId="5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5" xfId="0" applyFont="1" applyBorder="1" applyAlignment="1">
      <alignment/>
    </xf>
    <xf numFmtId="0" fontId="4" fillId="3" borderId="22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23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1" borderId="14" xfId="0" applyFont="1" applyFill="1" applyBorder="1" applyAlignment="1">
      <alignment horizontal="center"/>
    </xf>
    <xf numFmtId="0" fontId="4" fillId="1" borderId="17" xfId="0" applyFont="1" applyFill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4" fillId="1" borderId="13" xfId="0" applyFont="1" applyFill="1" applyBorder="1" applyAlignment="1">
      <alignment horizontal="center"/>
    </xf>
    <xf numFmtId="183" fontId="4" fillId="1" borderId="14" xfId="0" applyNumberFormat="1" applyFont="1" applyFill="1" applyBorder="1" applyAlignment="1">
      <alignment horizontal="center"/>
    </xf>
    <xf numFmtId="0" fontId="4" fillId="1" borderId="11" xfId="0" applyFont="1" applyFill="1" applyBorder="1" applyAlignment="1">
      <alignment horizontal="center"/>
    </xf>
    <xf numFmtId="186" fontId="4" fillId="0" borderId="13" xfId="0" applyNumberFormat="1" applyFont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center"/>
    </xf>
    <xf numFmtId="0" fontId="4" fillId="0" borderId="25" xfId="0" applyFont="1" applyBorder="1" applyAlignment="1">
      <alignment horizontal="right"/>
    </xf>
    <xf numFmtId="0" fontId="4" fillId="0" borderId="25" xfId="0" applyFont="1" applyBorder="1" applyAlignment="1">
      <alignment horizontal="center"/>
    </xf>
    <xf numFmtId="183" fontId="4" fillId="0" borderId="25" xfId="0" applyNumberFormat="1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12" fillId="0" borderId="14" xfId="0" applyFont="1" applyBorder="1" applyAlignment="1">
      <alignment/>
    </xf>
    <xf numFmtId="0" fontId="12" fillId="5" borderId="14" xfId="0" applyFont="1" applyFill="1" applyBorder="1" applyAlignment="1">
      <alignment/>
    </xf>
    <xf numFmtId="0" fontId="12" fillId="0" borderId="5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5" borderId="14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14" fillId="0" borderId="5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left"/>
    </xf>
    <xf numFmtId="49" fontId="16" fillId="0" borderId="14" xfId="0" applyNumberFormat="1" applyFont="1" applyBorder="1" applyAlignment="1">
      <alignment/>
    </xf>
    <xf numFmtId="49" fontId="16" fillId="0" borderId="14" xfId="0" applyNumberFormat="1" applyFont="1" applyBorder="1" applyAlignment="1">
      <alignment horizontal="left"/>
    </xf>
    <xf numFmtId="0" fontId="4" fillId="0" borderId="28" xfId="0" applyFont="1" applyFill="1" applyBorder="1" applyAlignment="1">
      <alignment/>
    </xf>
    <xf numFmtId="0" fontId="4" fillId="0" borderId="29" xfId="0" applyFont="1" applyBorder="1" applyAlignment="1">
      <alignment/>
    </xf>
    <xf numFmtId="0" fontId="18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right"/>
    </xf>
    <xf numFmtId="0" fontId="4" fillId="0" borderId="31" xfId="0" applyFont="1" applyFill="1" applyBorder="1" applyAlignment="1">
      <alignment horizontal="right"/>
    </xf>
    <xf numFmtId="1" fontId="4" fillId="0" borderId="5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left"/>
    </xf>
    <xf numFmtId="1" fontId="4" fillId="0" borderId="14" xfId="0" applyNumberFormat="1" applyFont="1" applyBorder="1" applyAlignment="1">
      <alignment horizontal="left"/>
    </xf>
    <xf numFmtId="1" fontId="4" fillId="6" borderId="14" xfId="0" applyNumberFormat="1" applyFont="1" applyFill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83" fontId="4" fillId="0" borderId="32" xfId="0" applyNumberFormat="1" applyFont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83" fontId="4" fillId="0" borderId="33" xfId="0" applyNumberFormat="1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1" fontId="4" fillId="0" borderId="30" xfId="0" applyNumberFormat="1" applyFont="1" applyBorder="1" applyAlignment="1">
      <alignment horizontal="left"/>
    </xf>
    <xf numFmtId="1" fontId="4" fillId="0" borderId="17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left"/>
    </xf>
    <xf numFmtId="186" fontId="4" fillId="0" borderId="14" xfId="0" applyNumberFormat="1" applyFont="1" applyBorder="1" applyAlignment="1">
      <alignment horizontal="center"/>
    </xf>
    <xf numFmtId="1" fontId="4" fillId="0" borderId="5" xfId="0" applyNumberFormat="1" applyFont="1" applyFill="1" applyBorder="1" applyAlignment="1">
      <alignment horizontal="left"/>
    </xf>
    <xf numFmtId="0" fontId="4" fillId="0" borderId="3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Fill="1" applyBorder="1" applyAlignment="1">
      <alignment/>
    </xf>
    <xf numFmtId="0" fontId="4" fillId="2" borderId="30" xfId="0" applyFont="1" applyFill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4" fillId="0" borderId="40" xfId="0" applyFont="1" applyBorder="1" applyAlignment="1">
      <alignment/>
    </xf>
    <xf numFmtId="1" fontId="4" fillId="0" borderId="32" xfId="0" applyNumberFormat="1" applyFont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4" xfId="0" applyFont="1" applyBorder="1" applyAlignment="1">
      <alignment/>
    </xf>
    <xf numFmtId="0" fontId="16" fillId="0" borderId="0" xfId="0" applyFont="1" applyAlignment="1">
      <alignment/>
    </xf>
    <xf numFmtId="0" fontId="4" fillId="0" borderId="41" xfId="0" applyFont="1" applyBorder="1" applyAlignment="1">
      <alignment/>
    </xf>
    <xf numFmtId="204" fontId="4" fillId="0" borderId="0" xfId="15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1" fontId="4" fillId="0" borderId="30" xfId="0" applyNumberFormat="1" applyFont="1" applyFill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8" fillId="0" borderId="43" xfId="0" applyFont="1" applyBorder="1" applyAlignment="1">
      <alignment/>
    </xf>
    <xf numFmtId="49" fontId="4" fillId="0" borderId="44" xfId="0" applyNumberFormat="1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0" fontId="8" fillId="7" borderId="14" xfId="0" applyFont="1" applyFill="1" applyBorder="1" applyAlignment="1">
      <alignment/>
    </xf>
    <xf numFmtId="49" fontId="6" fillId="7" borderId="14" xfId="0" applyNumberFormat="1" applyFont="1" applyFill="1" applyBorder="1" applyAlignment="1">
      <alignment horizontal="center"/>
    </xf>
    <xf numFmtId="44" fontId="16" fillId="0" borderId="14" xfId="20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4" fillId="7" borderId="12" xfId="0" applyNumberFormat="1" applyFont="1" applyFill="1" applyBorder="1" applyAlignment="1">
      <alignment/>
    </xf>
    <xf numFmtId="0" fontId="16" fillId="7" borderId="14" xfId="0" applyFont="1" applyFill="1" applyBorder="1" applyAlignment="1">
      <alignment horizontal="center"/>
    </xf>
    <xf numFmtId="0" fontId="4" fillId="6" borderId="0" xfId="0" applyFont="1" applyFill="1" applyAlignment="1">
      <alignment/>
    </xf>
    <xf numFmtId="0" fontId="4" fillId="6" borderId="0" xfId="0" applyFont="1" applyFill="1" applyBorder="1" applyAlignment="1">
      <alignment/>
    </xf>
    <xf numFmtId="0" fontId="4" fillId="6" borderId="0" xfId="0" applyFont="1" applyFill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Fill="1" applyAlignment="1">
      <alignment/>
    </xf>
    <xf numFmtId="1" fontId="4" fillId="0" borderId="32" xfId="0" applyNumberFormat="1" applyFont="1" applyFill="1" applyBorder="1" applyAlignment="1">
      <alignment horizontal="center"/>
    </xf>
    <xf numFmtId="183" fontId="4" fillId="0" borderId="30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4" fillId="0" borderId="14" xfId="22" applyNumberFormat="1" applyFont="1" applyFill="1" applyBorder="1" applyAlignment="1">
      <alignment horizontal="left"/>
    </xf>
    <xf numFmtId="0" fontId="4" fillId="0" borderId="14" xfId="22" applyNumberFormat="1" applyFont="1" applyFill="1" applyBorder="1" applyAlignment="1">
      <alignment horizontal="center"/>
    </xf>
    <xf numFmtId="0" fontId="9" fillId="0" borderId="45" xfId="0" applyFont="1" applyBorder="1" applyAlignment="1">
      <alignment/>
    </xf>
    <xf numFmtId="1" fontId="4" fillId="0" borderId="30" xfId="0" applyNumberFormat="1" applyFont="1" applyBorder="1" applyAlignment="1">
      <alignment/>
    </xf>
    <xf numFmtId="186" fontId="4" fillId="0" borderId="14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9" fillId="0" borderId="0" xfId="16" applyFont="1" applyBorder="1" applyAlignment="1">
      <alignment horizontal="center"/>
    </xf>
    <xf numFmtId="1" fontId="4" fillId="0" borderId="14" xfId="0" applyNumberFormat="1" applyFont="1" applyBorder="1" applyAlignment="1">
      <alignment/>
    </xf>
    <xf numFmtId="1" fontId="4" fillId="0" borderId="45" xfId="0" applyNumberFormat="1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" fontId="4" fillId="0" borderId="46" xfId="0" applyNumberFormat="1" applyFont="1" applyBorder="1" applyAlignment="1">
      <alignment horizontal="center"/>
    </xf>
    <xf numFmtId="1" fontId="16" fillId="0" borderId="5" xfId="0" applyNumberFormat="1" applyFont="1" applyBorder="1" applyAlignment="1">
      <alignment horizontal="center"/>
    </xf>
    <xf numFmtId="1" fontId="16" fillId="0" borderId="5" xfId="0" applyNumberFormat="1" applyFont="1" applyBorder="1" applyAlignment="1">
      <alignment horizontal="left"/>
    </xf>
    <xf numFmtId="183" fontId="16" fillId="0" borderId="5" xfId="0" applyNumberFormat="1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1" fontId="16" fillId="0" borderId="14" xfId="0" applyNumberFormat="1" applyFont="1" applyBorder="1" applyAlignment="1">
      <alignment horizontal="left"/>
    </xf>
    <xf numFmtId="1" fontId="16" fillId="0" borderId="14" xfId="0" applyNumberFormat="1" applyFont="1" applyFill="1" applyBorder="1" applyAlignment="1">
      <alignment horizontal="center"/>
    </xf>
    <xf numFmtId="1" fontId="16" fillId="0" borderId="14" xfId="0" applyNumberFormat="1" applyFont="1" applyFill="1" applyBorder="1" applyAlignment="1">
      <alignment horizontal="left"/>
    </xf>
    <xf numFmtId="0" fontId="16" fillId="2" borderId="14" xfId="0" applyFont="1" applyFill="1" applyBorder="1" applyAlignment="1">
      <alignment horizontal="center"/>
    </xf>
    <xf numFmtId="183" fontId="16" fillId="0" borderId="14" xfId="0" applyNumberFormat="1" applyFont="1" applyFill="1" applyBorder="1" applyAlignment="1">
      <alignment horizontal="center"/>
    </xf>
    <xf numFmtId="1" fontId="16" fillId="0" borderId="5" xfId="0" applyNumberFormat="1" applyFont="1" applyFill="1" applyBorder="1" applyAlignment="1">
      <alignment horizontal="center"/>
    </xf>
    <xf numFmtId="1" fontId="16" fillId="0" borderId="5" xfId="0" applyNumberFormat="1" applyFont="1" applyFill="1" applyBorder="1" applyAlignment="1">
      <alignment horizontal="left"/>
    </xf>
    <xf numFmtId="0" fontId="16" fillId="0" borderId="30" xfId="0" applyFont="1" applyFill="1" applyBorder="1" applyAlignment="1">
      <alignment horizontal="center"/>
    </xf>
    <xf numFmtId="0" fontId="16" fillId="0" borderId="47" xfId="0" applyFont="1" applyFill="1" applyBorder="1" applyAlignment="1">
      <alignment horizontal="center"/>
    </xf>
    <xf numFmtId="0" fontId="16" fillId="0" borderId="46" xfId="0" applyFont="1" applyFill="1" applyBorder="1" applyAlignment="1">
      <alignment horizontal="center"/>
    </xf>
    <xf numFmtId="0" fontId="16" fillId="2" borderId="30" xfId="0" applyFont="1" applyFill="1" applyBorder="1" applyAlignment="1">
      <alignment horizontal="center"/>
    </xf>
    <xf numFmtId="0" fontId="16" fillId="0" borderId="30" xfId="0" applyFont="1" applyBorder="1" applyAlignment="1">
      <alignment horizontal="center"/>
    </xf>
    <xf numFmtId="1" fontId="16" fillId="0" borderId="17" xfId="0" applyNumberFormat="1" applyFont="1" applyBorder="1" applyAlignment="1">
      <alignment horizontal="center"/>
    </xf>
    <xf numFmtId="0" fontId="16" fillId="2" borderId="17" xfId="0" applyFont="1" applyFill="1" applyBorder="1" applyAlignment="1">
      <alignment horizontal="center"/>
    </xf>
    <xf numFmtId="183" fontId="16" fillId="0" borderId="17" xfId="0" applyNumberFormat="1" applyFont="1" applyFill="1" applyBorder="1" applyAlignment="1">
      <alignment horizontal="center"/>
    </xf>
    <xf numFmtId="183" fontId="16" fillId="0" borderId="14" xfId="0" applyNumberFormat="1" applyFont="1" applyBorder="1" applyAlignment="1">
      <alignment horizontal="center"/>
    </xf>
    <xf numFmtId="1" fontId="16" fillId="0" borderId="30" xfId="0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1" fontId="16" fillId="0" borderId="17" xfId="0" applyNumberFormat="1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16" fillId="0" borderId="14" xfId="22" applyNumberFormat="1" applyFont="1" applyFill="1" applyBorder="1" applyAlignment="1">
      <alignment horizontal="left"/>
    </xf>
    <xf numFmtId="0" fontId="16" fillId="0" borderId="14" xfId="22" applyNumberFormat="1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2" borderId="32" xfId="0" applyFont="1" applyFill="1" applyBorder="1" applyAlignment="1">
      <alignment horizontal="center"/>
    </xf>
    <xf numFmtId="183" fontId="16" fillId="0" borderId="32" xfId="0" applyNumberFormat="1" applyFont="1" applyBorder="1" applyAlignment="1">
      <alignment horizontal="center"/>
    </xf>
    <xf numFmtId="183" fontId="16" fillId="0" borderId="17" xfId="0" applyNumberFormat="1" applyFont="1" applyBorder="1" applyAlignment="1">
      <alignment horizontal="center"/>
    </xf>
    <xf numFmtId="1" fontId="16" fillId="0" borderId="45" xfId="0" applyNumberFormat="1" applyFont="1" applyFill="1" applyBorder="1" applyAlignment="1">
      <alignment horizontal="center"/>
    </xf>
    <xf numFmtId="1" fontId="4" fillId="0" borderId="30" xfId="0" applyNumberFormat="1" applyFont="1" applyBorder="1" applyAlignment="1">
      <alignment/>
    </xf>
    <xf numFmtId="1" fontId="16" fillId="0" borderId="30" xfId="0" applyNumberFormat="1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6" fillId="2" borderId="46" xfId="0" applyFont="1" applyFill="1" applyBorder="1" applyAlignment="1">
      <alignment horizontal="center"/>
    </xf>
    <xf numFmtId="1" fontId="4" fillId="0" borderId="45" xfId="0" applyNumberFormat="1" applyFont="1" applyFill="1" applyBorder="1" applyAlignment="1">
      <alignment horizontal="center"/>
    </xf>
    <xf numFmtId="1" fontId="4" fillId="0" borderId="45" xfId="0" applyNumberFormat="1" applyFont="1" applyFill="1" applyBorder="1" applyAlignment="1">
      <alignment horizontal="left"/>
    </xf>
    <xf numFmtId="1" fontId="16" fillId="0" borderId="30" xfId="0" applyNumberFormat="1" applyFont="1" applyFill="1" applyBorder="1" applyAlignment="1">
      <alignment horizontal="left"/>
    </xf>
    <xf numFmtId="183" fontId="16" fillId="0" borderId="5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left"/>
    </xf>
    <xf numFmtId="0" fontId="16" fillId="0" borderId="1" xfId="0" applyFont="1" applyFill="1" applyBorder="1" applyAlignment="1">
      <alignment/>
    </xf>
    <xf numFmtId="0" fontId="16" fillId="0" borderId="5" xfId="0" applyFont="1" applyBorder="1" applyAlignment="1">
      <alignment/>
    </xf>
    <xf numFmtId="0" fontId="16" fillId="0" borderId="32" xfId="0" applyFont="1" applyBorder="1" applyAlignment="1">
      <alignment horizontal="center"/>
    </xf>
    <xf numFmtId="0" fontId="16" fillId="0" borderId="49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183" fontId="16" fillId="0" borderId="32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/>
    </xf>
    <xf numFmtId="1" fontId="16" fillId="0" borderId="30" xfId="0" applyNumberFormat="1" applyFont="1" applyBorder="1" applyAlignment="1">
      <alignment horizontal="left"/>
    </xf>
    <xf numFmtId="183" fontId="16" fillId="0" borderId="30" xfId="0" applyNumberFormat="1" applyFont="1" applyFill="1" applyBorder="1" applyAlignment="1">
      <alignment horizontal="center"/>
    </xf>
    <xf numFmtId="1" fontId="4" fillId="0" borderId="5" xfId="0" applyNumberFormat="1" applyFont="1" applyBorder="1" applyAlignment="1">
      <alignment/>
    </xf>
    <xf numFmtId="1" fontId="4" fillId="0" borderId="43" xfId="0" applyNumberFormat="1" applyFont="1" applyBorder="1" applyAlignment="1">
      <alignment horizontal="center"/>
    </xf>
    <xf numFmtId="0" fontId="16" fillId="0" borderId="43" xfId="0" applyFont="1" applyFill="1" applyBorder="1" applyAlignment="1">
      <alignment horizontal="center"/>
    </xf>
    <xf numFmtId="0" fontId="16" fillId="0" borderId="51" xfId="0" applyFont="1" applyFill="1" applyBorder="1" applyAlignment="1">
      <alignment horizontal="center"/>
    </xf>
    <xf numFmtId="183" fontId="16" fillId="0" borderId="30" xfId="0" applyNumberFormat="1" applyFont="1" applyBorder="1" applyAlignment="1">
      <alignment horizontal="center"/>
    </xf>
    <xf numFmtId="186" fontId="4" fillId="0" borderId="5" xfId="0" applyNumberFormat="1" applyFont="1" applyBorder="1" applyAlignment="1">
      <alignment horizontal="center"/>
    </xf>
    <xf numFmtId="183" fontId="4" fillId="0" borderId="32" xfId="0" applyNumberFormat="1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45" xfId="22" applyNumberFormat="1" applyFont="1" applyFill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52" xfId="0" applyFont="1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right"/>
    </xf>
    <xf numFmtId="0" fontId="6" fillId="0" borderId="55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16" fillId="0" borderId="2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44" fontId="4" fillId="0" borderId="23" xfId="20" applyFont="1" applyBorder="1" applyAlignment="1">
      <alignment horizontal="center"/>
    </xf>
    <xf numFmtId="44" fontId="4" fillId="0" borderId="13" xfId="2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right"/>
    </xf>
    <xf numFmtId="0" fontId="4" fillId="0" borderId="31" xfId="0" applyFont="1" applyFill="1" applyBorder="1" applyAlignment="1">
      <alignment horizontal="right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23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5" fillId="0" borderId="63" xfId="0" applyFont="1" applyBorder="1" applyAlignment="1">
      <alignment horizontal="center"/>
    </xf>
    <xf numFmtId="0" fontId="4" fillId="0" borderId="31" xfId="0" applyFont="1" applyBorder="1" applyAlignment="1">
      <alignment horizontal="right"/>
    </xf>
    <xf numFmtId="0" fontId="16" fillId="0" borderId="5" xfId="0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4" fillId="0" borderId="3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7" fillId="0" borderId="64" xfId="0" applyFont="1" applyBorder="1" applyAlignment="1">
      <alignment horizontal="center"/>
    </xf>
    <xf numFmtId="0" fontId="17" fillId="0" borderId="65" xfId="0" applyFont="1" applyBorder="1" applyAlignment="1">
      <alignment horizontal="center"/>
    </xf>
    <xf numFmtId="0" fontId="17" fillId="0" borderId="66" xfId="0" applyFont="1" applyBorder="1" applyAlignment="1">
      <alignment horizontal="center"/>
    </xf>
    <xf numFmtId="49" fontId="8" fillId="0" borderId="41" xfId="0" applyNumberFormat="1" applyFont="1" applyBorder="1" applyAlignment="1">
      <alignment horizontal="center"/>
    </xf>
    <xf numFmtId="49" fontId="8" fillId="0" borderId="70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70" xfId="0" applyFont="1" applyBorder="1" applyAlignment="1">
      <alignment horizontal="center"/>
    </xf>
    <xf numFmtId="0" fontId="4" fillId="0" borderId="22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16" fillId="0" borderId="14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6" fillId="0" borderId="61" xfId="0" applyFont="1" applyBorder="1" applyAlignment="1">
      <alignment horizontal="center"/>
    </xf>
    <xf numFmtId="0" fontId="16" fillId="0" borderId="6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22" xfId="0" applyFont="1" applyFill="1" applyBorder="1" applyAlignment="1">
      <alignment horizontal="right"/>
    </xf>
    <xf numFmtId="0" fontId="4" fillId="0" borderId="33" xfId="0" applyFont="1" applyFill="1" applyBorder="1" applyAlignment="1">
      <alignment horizontal="right"/>
    </xf>
    <xf numFmtId="0" fontId="4" fillId="0" borderId="41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14" xfId="0" applyFont="1" applyFill="1" applyBorder="1" applyAlignment="1">
      <alignment horizontal="right"/>
    </xf>
    <xf numFmtId="16" fontId="4" fillId="0" borderId="23" xfId="0" applyNumberFormat="1" applyFont="1" applyBorder="1" applyAlignment="1">
      <alignment horizontal="center"/>
    </xf>
    <xf numFmtId="16" fontId="4" fillId="0" borderId="13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16" fillId="0" borderId="2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9" fillId="0" borderId="23" xfId="16" applyFont="1" applyBorder="1" applyAlignment="1">
      <alignment horizontal="center"/>
    </xf>
    <xf numFmtId="0" fontId="19" fillId="0" borderId="31" xfId="16" applyFont="1" applyBorder="1" applyAlignment="1">
      <alignment horizontal="center"/>
    </xf>
    <xf numFmtId="0" fontId="19" fillId="0" borderId="13" xfId="16" applyFont="1" applyBorder="1" applyAlignment="1">
      <alignment horizontal="center"/>
    </xf>
    <xf numFmtId="0" fontId="19" fillId="0" borderId="14" xfId="16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28575</xdr:colOff>
      <xdr:row>3</xdr:row>
      <xdr:rowOff>152400</xdr:rowOff>
    </xdr:from>
    <xdr:to>
      <xdr:col>16</xdr:col>
      <xdr:colOff>466725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638175"/>
          <a:ext cx="1504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0</xdr:row>
      <xdr:rowOff>0</xdr:rowOff>
    </xdr:from>
    <xdr:to>
      <xdr:col>6</xdr:col>
      <xdr:colOff>209550</xdr:colOff>
      <xdr:row>7</xdr:row>
      <xdr:rowOff>85725</xdr:rowOff>
    </xdr:to>
    <xdr:sp>
      <xdr:nvSpPr>
        <xdr:cNvPr id="2" name="AutoShape 2"/>
        <xdr:cNvSpPr>
          <a:spLocks noChangeAspect="1"/>
        </xdr:cNvSpPr>
      </xdr:nvSpPr>
      <xdr:spPr>
        <a:xfrm>
          <a:off x="381000" y="0"/>
          <a:ext cx="2847975" cy="1228725"/>
        </a:xfrm>
        <a:prstGeom prst="rect"/>
        <a:noFill/>
      </xdr:spPr>
      <xdr:txBody>
        <a:bodyPr fromWordArt="1" wrap="none">
          <a:prstTxWarp prst="textCascadeUp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5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>
                  <a:alpha val="70000"/>
                </a:srgbClr>
              </a:solidFill>
              <a:latin typeface="Calisto MT"/>
              <a:cs typeface="Calisto MT"/>
            </a:rPr>
            <a:t>Patrick B.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28575</xdr:colOff>
      <xdr:row>3</xdr:row>
      <xdr:rowOff>152400</xdr:rowOff>
    </xdr:from>
    <xdr:to>
      <xdr:col>16</xdr:col>
      <xdr:colOff>466725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647700"/>
          <a:ext cx="1504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0</xdr:row>
      <xdr:rowOff>0</xdr:rowOff>
    </xdr:from>
    <xdr:to>
      <xdr:col>6</xdr:col>
      <xdr:colOff>209550</xdr:colOff>
      <xdr:row>7</xdr:row>
      <xdr:rowOff>85725</xdr:rowOff>
    </xdr:to>
    <xdr:sp>
      <xdr:nvSpPr>
        <xdr:cNvPr id="2" name="AutoShape 2"/>
        <xdr:cNvSpPr>
          <a:spLocks noChangeAspect="1"/>
        </xdr:cNvSpPr>
      </xdr:nvSpPr>
      <xdr:spPr>
        <a:xfrm>
          <a:off x="381000" y="0"/>
          <a:ext cx="2771775" cy="1238250"/>
        </a:xfrm>
        <a:prstGeom prst="rect"/>
        <a:noFill/>
      </xdr:spPr>
      <xdr:txBody>
        <a:bodyPr fromWordArt="1" wrap="none">
          <a:prstTxWarp prst="textCascadeUp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5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>
                  <a:alpha val="70000"/>
                </a:srgbClr>
              </a:solidFill>
              <a:latin typeface="Calisto MT"/>
              <a:cs typeface="Calisto MT"/>
            </a:rPr>
            <a:t>Patrick 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28575</xdr:colOff>
      <xdr:row>3</xdr:row>
      <xdr:rowOff>152400</xdr:rowOff>
    </xdr:from>
    <xdr:to>
      <xdr:col>16</xdr:col>
      <xdr:colOff>466725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638175"/>
          <a:ext cx="1504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0</xdr:row>
      <xdr:rowOff>0</xdr:rowOff>
    </xdr:from>
    <xdr:to>
      <xdr:col>6</xdr:col>
      <xdr:colOff>209550</xdr:colOff>
      <xdr:row>7</xdr:row>
      <xdr:rowOff>85725</xdr:rowOff>
    </xdr:to>
    <xdr:sp>
      <xdr:nvSpPr>
        <xdr:cNvPr id="2" name="AutoShape 2"/>
        <xdr:cNvSpPr>
          <a:spLocks noChangeAspect="1"/>
        </xdr:cNvSpPr>
      </xdr:nvSpPr>
      <xdr:spPr>
        <a:xfrm>
          <a:off x="381000" y="0"/>
          <a:ext cx="2914650" cy="1228725"/>
        </a:xfrm>
        <a:prstGeom prst="rect"/>
        <a:noFill/>
      </xdr:spPr>
      <xdr:txBody>
        <a:bodyPr fromWordArt="1" wrap="none">
          <a:prstTxWarp prst="textCascadeUp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5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>
                  <a:alpha val="70000"/>
                </a:srgbClr>
              </a:solidFill>
              <a:latin typeface="Calisto MT"/>
              <a:cs typeface="Calisto MT"/>
            </a:rPr>
            <a:t>Sylvain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28575</xdr:colOff>
      <xdr:row>3</xdr:row>
      <xdr:rowOff>152400</xdr:rowOff>
    </xdr:from>
    <xdr:to>
      <xdr:col>16</xdr:col>
      <xdr:colOff>466725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638175"/>
          <a:ext cx="1504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0</xdr:row>
      <xdr:rowOff>0</xdr:rowOff>
    </xdr:from>
    <xdr:to>
      <xdr:col>6</xdr:col>
      <xdr:colOff>209550</xdr:colOff>
      <xdr:row>7</xdr:row>
      <xdr:rowOff>85725</xdr:rowOff>
    </xdr:to>
    <xdr:sp>
      <xdr:nvSpPr>
        <xdr:cNvPr id="2" name="AutoShape 2"/>
        <xdr:cNvSpPr>
          <a:spLocks noChangeAspect="1"/>
        </xdr:cNvSpPr>
      </xdr:nvSpPr>
      <xdr:spPr>
        <a:xfrm>
          <a:off x="381000" y="0"/>
          <a:ext cx="2771775" cy="1228725"/>
        </a:xfrm>
        <a:prstGeom prst="rect"/>
        <a:noFill/>
      </xdr:spPr>
      <xdr:txBody>
        <a:bodyPr fromWordArt="1" wrap="none">
          <a:prstTxWarp prst="textCascadeUp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5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>
                  <a:alpha val="70000"/>
                </a:srgbClr>
              </a:solidFill>
              <a:latin typeface="Calisto MT"/>
              <a:cs typeface="Calisto MT"/>
            </a:rPr>
            <a:t>Hugo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28575</xdr:colOff>
      <xdr:row>3</xdr:row>
      <xdr:rowOff>152400</xdr:rowOff>
    </xdr:from>
    <xdr:to>
      <xdr:col>16</xdr:col>
      <xdr:colOff>466725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638175"/>
          <a:ext cx="1504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0</xdr:row>
      <xdr:rowOff>0</xdr:rowOff>
    </xdr:from>
    <xdr:to>
      <xdr:col>6</xdr:col>
      <xdr:colOff>209550</xdr:colOff>
      <xdr:row>7</xdr:row>
      <xdr:rowOff>85725</xdr:rowOff>
    </xdr:to>
    <xdr:sp>
      <xdr:nvSpPr>
        <xdr:cNvPr id="2" name="AutoShape 2"/>
        <xdr:cNvSpPr>
          <a:spLocks noChangeAspect="1"/>
        </xdr:cNvSpPr>
      </xdr:nvSpPr>
      <xdr:spPr>
        <a:xfrm>
          <a:off x="381000" y="0"/>
          <a:ext cx="2857500" cy="1228725"/>
        </a:xfrm>
        <a:prstGeom prst="rect"/>
        <a:noFill/>
      </xdr:spPr>
      <xdr:txBody>
        <a:bodyPr fromWordArt="1" wrap="none">
          <a:prstTxWarp prst="textCascadeUp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5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>
                  <a:alpha val="70000"/>
                </a:srgbClr>
              </a:solidFill>
              <a:latin typeface="Calisto MT"/>
              <a:cs typeface="Calisto MT"/>
            </a:rPr>
            <a:t>Johnny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28575</xdr:colOff>
      <xdr:row>3</xdr:row>
      <xdr:rowOff>152400</xdr:rowOff>
    </xdr:from>
    <xdr:to>
      <xdr:col>16</xdr:col>
      <xdr:colOff>466725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638175"/>
          <a:ext cx="1504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0</xdr:row>
      <xdr:rowOff>0</xdr:rowOff>
    </xdr:from>
    <xdr:to>
      <xdr:col>6</xdr:col>
      <xdr:colOff>209550</xdr:colOff>
      <xdr:row>7</xdr:row>
      <xdr:rowOff>85725</xdr:rowOff>
    </xdr:to>
    <xdr:sp>
      <xdr:nvSpPr>
        <xdr:cNvPr id="2" name="AutoShape 2"/>
        <xdr:cNvSpPr>
          <a:spLocks noChangeAspect="1"/>
        </xdr:cNvSpPr>
      </xdr:nvSpPr>
      <xdr:spPr>
        <a:xfrm>
          <a:off x="381000" y="0"/>
          <a:ext cx="2771775" cy="1228725"/>
        </a:xfrm>
        <a:prstGeom prst="rect"/>
        <a:noFill/>
      </xdr:spPr>
      <xdr:txBody>
        <a:bodyPr fromWordArt="1" wrap="none">
          <a:prstTxWarp prst="textCascadeUp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5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>
                  <a:alpha val="70000"/>
                </a:srgbClr>
              </a:solidFill>
              <a:latin typeface="Calisto MT"/>
              <a:cs typeface="Calisto MT"/>
            </a:rPr>
            <a:t>Gilles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28575</xdr:colOff>
      <xdr:row>3</xdr:row>
      <xdr:rowOff>152400</xdr:rowOff>
    </xdr:from>
    <xdr:to>
      <xdr:col>16</xdr:col>
      <xdr:colOff>466725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638175"/>
          <a:ext cx="1504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0</xdr:row>
      <xdr:rowOff>0</xdr:rowOff>
    </xdr:from>
    <xdr:to>
      <xdr:col>6</xdr:col>
      <xdr:colOff>209550</xdr:colOff>
      <xdr:row>7</xdr:row>
      <xdr:rowOff>85725</xdr:rowOff>
    </xdr:to>
    <xdr:sp>
      <xdr:nvSpPr>
        <xdr:cNvPr id="2" name="AutoShape 2"/>
        <xdr:cNvSpPr>
          <a:spLocks noChangeAspect="1"/>
        </xdr:cNvSpPr>
      </xdr:nvSpPr>
      <xdr:spPr>
        <a:xfrm>
          <a:off x="381000" y="0"/>
          <a:ext cx="2876550" cy="1228725"/>
        </a:xfrm>
        <a:prstGeom prst="rect"/>
        <a:noFill/>
      </xdr:spPr>
      <xdr:txBody>
        <a:bodyPr fromWordArt="1" wrap="none">
          <a:prstTxWarp prst="textCascadeUp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5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>
                  <a:alpha val="70000"/>
                </a:srgbClr>
              </a:solidFill>
              <a:latin typeface="Calisto MT"/>
              <a:cs typeface="Calisto MT"/>
            </a:rPr>
            <a:t>Maxime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28575</xdr:colOff>
      <xdr:row>3</xdr:row>
      <xdr:rowOff>152400</xdr:rowOff>
    </xdr:from>
    <xdr:to>
      <xdr:col>16</xdr:col>
      <xdr:colOff>466725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638175"/>
          <a:ext cx="1504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0</xdr:row>
      <xdr:rowOff>0</xdr:rowOff>
    </xdr:from>
    <xdr:to>
      <xdr:col>6</xdr:col>
      <xdr:colOff>209550</xdr:colOff>
      <xdr:row>7</xdr:row>
      <xdr:rowOff>85725</xdr:rowOff>
    </xdr:to>
    <xdr:sp>
      <xdr:nvSpPr>
        <xdr:cNvPr id="2" name="AutoShape 2"/>
        <xdr:cNvSpPr>
          <a:spLocks noChangeAspect="1"/>
        </xdr:cNvSpPr>
      </xdr:nvSpPr>
      <xdr:spPr>
        <a:xfrm>
          <a:off x="381000" y="0"/>
          <a:ext cx="2857500" cy="1228725"/>
        </a:xfrm>
        <a:prstGeom prst="rect"/>
        <a:noFill/>
      </xdr:spPr>
      <xdr:txBody>
        <a:bodyPr fromWordArt="1" wrap="none">
          <a:prstTxWarp prst="textCascadeUp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5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>
                  <a:alpha val="70000"/>
                </a:srgbClr>
              </a:solidFill>
              <a:latin typeface="Calisto MT"/>
              <a:cs typeface="Calisto MT"/>
            </a:rPr>
            <a:t>Jonathan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28575</xdr:colOff>
      <xdr:row>3</xdr:row>
      <xdr:rowOff>152400</xdr:rowOff>
    </xdr:from>
    <xdr:to>
      <xdr:col>16</xdr:col>
      <xdr:colOff>466725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638175"/>
          <a:ext cx="1504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0</xdr:row>
      <xdr:rowOff>0</xdr:rowOff>
    </xdr:from>
    <xdr:to>
      <xdr:col>6</xdr:col>
      <xdr:colOff>209550</xdr:colOff>
      <xdr:row>7</xdr:row>
      <xdr:rowOff>85725</xdr:rowOff>
    </xdr:to>
    <xdr:sp>
      <xdr:nvSpPr>
        <xdr:cNvPr id="2" name="AutoShape 2"/>
        <xdr:cNvSpPr>
          <a:spLocks noChangeAspect="1"/>
        </xdr:cNvSpPr>
      </xdr:nvSpPr>
      <xdr:spPr>
        <a:xfrm>
          <a:off x="381000" y="0"/>
          <a:ext cx="2771775" cy="1228725"/>
        </a:xfrm>
        <a:prstGeom prst="rect"/>
        <a:noFill/>
      </xdr:spPr>
      <xdr:txBody>
        <a:bodyPr fromWordArt="1" wrap="none">
          <a:prstTxWarp prst="textCascadeUp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5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>
                  <a:alpha val="70000"/>
                </a:srgbClr>
              </a:solidFill>
              <a:latin typeface="Calisto MT"/>
              <a:cs typeface="Calisto MT"/>
            </a:rPr>
            <a:t>Phil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28575</xdr:colOff>
      <xdr:row>3</xdr:row>
      <xdr:rowOff>152400</xdr:rowOff>
    </xdr:from>
    <xdr:to>
      <xdr:col>16</xdr:col>
      <xdr:colOff>466725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638175"/>
          <a:ext cx="1504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0</xdr:row>
      <xdr:rowOff>0</xdr:rowOff>
    </xdr:from>
    <xdr:to>
      <xdr:col>6</xdr:col>
      <xdr:colOff>209550</xdr:colOff>
      <xdr:row>7</xdr:row>
      <xdr:rowOff>85725</xdr:rowOff>
    </xdr:to>
    <xdr:sp>
      <xdr:nvSpPr>
        <xdr:cNvPr id="2" name="AutoShape 2"/>
        <xdr:cNvSpPr>
          <a:spLocks noChangeAspect="1"/>
        </xdr:cNvSpPr>
      </xdr:nvSpPr>
      <xdr:spPr>
        <a:xfrm>
          <a:off x="381000" y="0"/>
          <a:ext cx="2905125" cy="1228725"/>
        </a:xfrm>
        <a:prstGeom prst="rect"/>
        <a:noFill/>
      </xdr:spPr>
      <xdr:txBody>
        <a:bodyPr fromWordArt="1" wrap="none">
          <a:prstTxWarp prst="textCascadeUp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5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>
                  <a:alpha val="70000"/>
                </a:srgbClr>
              </a:solidFill>
              <a:latin typeface="Calisto MT"/>
              <a:cs typeface="Calisto MT"/>
            </a:rPr>
            <a:t>Gaetan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H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.P.C.H.2008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OL-joueus"/>
      <sheetName val="Pool-gardien"/>
      <sheetName val="Equipes-Pool"/>
      <sheetName val="Recrue"/>
      <sheetName val="Pool Quartier 08-09"/>
      <sheetName val="Pool Quartier 07-08"/>
      <sheetName val="Regle Recrue"/>
    </sheetNames>
    <sheetDataSet>
      <sheetData sheetId="0">
        <row r="5">
          <cell r="B5">
            <v>23.5013698630137</v>
          </cell>
          <cell r="C5" t="str">
            <v>Wsh</v>
          </cell>
          <cell r="D5" t="str">
            <v>Alexander Ovechkin</v>
          </cell>
          <cell r="E5">
            <v>65</v>
          </cell>
          <cell r="F5">
            <v>47</v>
          </cell>
          <cell r="G5">
            <v>38</v>
          </cell>
        </row>
        <row r="6">
          <cell r="B6">
            <v>22.632876712328766</v>
          </cell>
          <cell r="C6" t="str">
            <v>Pit</v>
          </cell>
          <cell r="D6" t="str">
            <v>Evgeni Malkin</v>
          </cell>
          <cell r="E6">
            <v>69</v>
          </cell>
          <cell r="F6">
            <v>30</v>
          </cell>
          <cell r="G6">
            <v>67</v>
          </cell>
        </row>
        <row r="7">
          <cell r="B7">
            <v>31.720547945205478</v>
          </cell>
          <cell r="C7" t="str">
            <v>Cgy</v>
          </cell>
          <cell r="D7" t="str">
            <v>Jarome Iginla</v>
          </cell>
          <cell r="E7">
            <v>68</v>
          </cell>
          <cell r="F7">
            <v>30</v>
          </cell>
          <cell r="G7">
            <v>48</v>
          </cell>
        </row>
        <row r="8">
          <cell r="B8">
            <v>30.66849315068493</v>
          </cell>
          <cell r="C8" t="str">
            <v>Det</v>
          </cell>
          <cell r="D8" t="str">
            <v>Pavel Datsyuk</v>
          </cell>
          <cell r="E8">
            <v>67</v>
          </cell>
          <cell r="F8">
            <v>25</v>
          </cell>
          <cell r="G8">
            <v>57</v>
          </cell>
        </row>
        <row r="9">
          <cell r="B9">
            <v>29.71780821917808</v>
          </cell>
          <cell r="C9" t="str">
            <v>S.J.</v>
          </cell>
          <cell r="D9" t="str">
            <v>Joe Thornton</v>
          </cell>
          <cell r="E9">
            <v>66</v>
          </cell>
          <cell r="F9">
            <v>20</v>
          </cell>
          <cell r="G9">
            <v>54</v>
          </cell>
        </row>
        <row r="10">
          <cell r="B10">
            <v>28.443835616438356</v>
          </cell>
          <cell r="C10" t="str">
            <v>Det</v>
          </cell>
          <cell r="D10" t="str">
            <v>Henrik Zetterberg</v>
          </cell>
          <cell r="E10">
            <v>63</v>
          </cell>
          <cell r="F10">
            <v>27</v>
          </cell>
          <cell r="G10">
            <v>33</v>
          </cell>
        </row>
        <row r="11">
          <cell r="B11">
            <v>22.764383561643836</v>
          </cell>
          <cell r="C11" t="str">
            <v>Ott</v>
          </cell>
          <cell r="D11" t="str">
            <v>Jason Spezza</v>
          </cell>
          <cell r="E11">
            <v>67</v>
          </cell>
          <cell r="F11">
            <v>25</v>
          </cell>
          <cell r="G11">
            <v>32</v>
          </cell>
        </row>
        <row r="12">
          <cell r="B12">
            <v>28.912328767123288</v>
          </cell>
          <cell r="C12" t="str">
            <v>T.B.</v>
          </cell>
          <cell r="D12" t="str">
            <v>Vincent Lecavalier</v>
          </cell>
          <cell r="E12">
            <v>68</v>
          </cell>
          <cell r="F12">
            <v>28</v>
          </cell>
          <cell r="G12">
            <v>36</v>
          </cell>
        </row>
        <row r="13">
          <cell r="B13">
            <v>36.276712328767125</v>
          </cell>
          <cell r="C13" t="str">
            <v>Ott</v>
          </cell>
          <cell r="D13" t="str">
            <v>Daniel Alfredsson</v>
          </cell>
          <cell r="E13">
            <v>65</v>
          </cell>
          <cell r="F13">
            <v>21</v>
          </cell>
          <cell r="G13">
            <v>43</v>
          </cell>
        </row>
        <row r="14">
          <cell r="B14">
            <v>25.92876712328767</v>
          </cell>
          <cell r="C14" t="str">
            <v>Atl</v>
          </cell>
          <cell r="D14" t="str">
            <v>Ilya Kovalchuk</v>
          </cell>
          <cell r="E14">
            <v>68</v>
          </cell>
          <cell r="F14">
            <v>36</v>
          </cell>
          <cell r="G14">
            <v>42</v>
          </cell>
        </row>
        <row r="15">
          <cell r="B15">
            <v>36.07123287671233</v>
          </cell>
          <cell r="C15" t="str">
            <v>Mtl</v>
          </cell>
          <cell r="D15" t="str">
            <v>Aleixei Kovalev</v>
          </cell>
          <cell r="E15">
            <v>65</v>
          </cell>
          <cell r="F15">
            <v>16</v>
          </cell>
          <cell r="G15">
            <v>31</v>
          </cell>
        </row>
        <row r="16">
          <cell r="B16">
            <v>29.106849315068494</v>
          </cell>
          <cell r="C16" t="str">
            <v>Dal</v>
          </cell>
          <cell r="D16" t="str">
            <v>Mike Ribeiro</v>
          </cell>
          <cell r="E16">
            <v>68</v>
          </cell>
          <cell r="F16">
            <v>19</v>
          </cell>
          <cell r="G16">
            <v>45</v>
          </cell>
        </row>
        <row r="17">
          <cell r="B17">
            <v>27.09315068493151</v>
          </cell>
          <cell r="C17" t="str">
            <v>Min</v>
          </cell>
          <cell r="D17" t="str">
            <v>Marian Gaborik</v>
          </cell>
          <cell r="E17">
            <v>6</v>
          </cell>
          <cell r="F17">
            <v>3</v>
          </cell>
          <cell r="G17">
            <v>2</v>
          </cell>
        </row>
        <row r="18">
          <cell r="B18">
            <v>33.75890410958904</v>
          </cell>
          <cell r="C18" t="str">
            <v>T.B.</v>
          </cell>
          <cell r="D18" t="str">
            <v>Martin St-Louis</v>
          </cell>
          <cell r="E18">
            <v>68</v>
          </cell>
          <cell r="F18">
            <v>25</v>
          </cell>
          <cell r="G18">
            <v>42</v>
          </cell>
        </row>
        <row r="19">
          <cell r="B19">
            <v>28.15890410958904</v>
          </cell>
          <cell r="C19" t="str">
            <v>Ott</v>
          </cell>
          <cell r="D19" t="str">
            <v>Dany Heatley</v>
          </cell>
          <cell r="E19">
            <v>67</v>
          </cell>
          <cell r="F19">
            <v>32</v>
          </cell>
          <cell r="G19">
            <v>31</v>
          </cell>
        </row>
        <row r="20">
          <cell r="B20">
            <v>23.85753424657534</v>
          </cell>
          <cell r="C20" t="str">
            <v>Ana</v>
          </cell>
          <cell r="D20" t="str">
            <v>Ryan Getzlaf</v>
          </cell>
          <cell r="E20">
            <v>67</v>
          </cell>
          <cell r="F20">
            <v>21</v>
          </cell>
          <cell r="G20">
            <v>51</v>
          </cell>
        </row>
        <row r="21">
          <cell r="B21">
            <v>24.386301369863013</v>
          </cell>
          <cell r="C21" t="str">
            <v>Car</v>
          </cell>
          <cell r="D21" t="str">
            <v>Eric Staal</v>
          </cell>
          <cell r="E21">
            <v>70</v>
          </cell>
          <cell r="F21">
            <v>32</v>
          </cell>
          <cell r="G21">
            <v>28</v>
          </cell>
        </row>
        <row r="22">
          <cell r="B22">
            <v>25.876712328767123</v>
          </cell>
          <cell r="C22" t="str">
            <v>Buf</v>
          </cell>
          <cell r="D22" t="str">
            <v>Derek Roy</v>
          </cell>
          <cell r="E22">
            <v>67</v>
          </cell>
          <cell r="F22">
            <v>24</v>
          </cell>
          <cell r="G22">
            <v>37</v>
          </cell>
        </row>
        <row r="23">
          <cell r="B23">
            <v>26.301369863013697</v>
          </cell>
          <cell r="C23" t="str">
            <v>Buf</v>
          </cell>
          <cell r="D23" t="str">
            <v>Jason Pominville</v>
          </cell>
          <cell r="E23">
            <v>67</v>
          </cell>
          <cell r="F23">
            <v>14</v>
          </cell>
          <cell r="G23">
            <v>34</v>
          </cell>
        </row>
        <row r="24">
          <cell r="B24">
            <v>31.676712328767124</v>
          </cell>
          <cell r="C24" t="str">
            <v>Bos</v>
          </cell>
          <cell r="D24" t="str">
            <v>Marc Savard</v>
          </cell>
          <cell r="E24">
            <v>69</v>
          </cell>
          <cell r="F24">
            <v>21</v>
          </cell>
          <cell r="G24">
            <v>54</v>
          </cell>
        </row>
        <row r="25">
          <cell r="B25">
            <v>38.104109589041094</v>
          </cell>
          <cell r="C25" t="str">
            <v>Van</v>
          </cell>
          <cell r="D25" t="str">
            <v>Mats Sundin</v>
          </cell>
          <cell r="E25">
            <v>25</v>
          </cell>
          <cell r="F25">
            <v>7</v>
          </cell>
          <cell r="G25">
            <v>10</v>
          </cell>
        </row>
        <row r="26">
          <cell r="B26">
            <v>32.443835616438356</v>
          </cell>
          <cell r="C26" t="str">
            <v>Phx</v>
          </cell>
          <cell r="D26" t="str">
            <v>Shane Doan</v>
          </cell>
          <cell r="E26">
            <v>67</v>
          </cell>
          <cell r="F26">
            <v>25</v>
          </cell>
          <cell r="G26">
            <v>32</v>
          </cell>
        </row>
        <row r="27">
          <cell r="B27">
            <v>21.567123287671233</v>
          </cell>
          <cell r="C27" t="str">
            <v>L.A.</v>
          </cell>
          <cell r="D27" t="str">
            <v>Anze Kopitar</v>
          </cell>
          <cell r="E27">
            <v>66</v>
          </cell>
          <cell r="F27">
            <v>23</v>
          </cell>
          <cell r="G27">
            <v>35</v>
          </cell>
        </row>
        <row r="28">
          <cell r="B28">
            <v>28.47945205479452</v>
          </cell>
          <cell r="C28" t="str">
            <v>Van</v>
          </cell>
          <cell r="D28" t="str">
            <v>Henrik Sedin</v>
          </cell>
          <cell r="E28">
            <v>66</v>
          </cell>
          <cell r="F28">
            <v>12</v>
          </cell>
          <cell r="G28">
            <v>48</v>
          </cell>
        </row>
        <row r="29">
          <cell r="B29">
            <v>24.0986301369863</v>
          </cell>
          <cell r="C29" t="str">
            <v>Phi</v>
          </cell>
          <cell r="D29" t="str">
            <v>Mike Richards</v>
          </cell>
          <cell r="E29">
            <v>62</v>
          </cell>
          <cell r="F29">
            <v>26</v>
          </cell>
          <cell r="G29">
            <v>42</v>
          </cell>
        </row>
        <row r="30">
          <cell r="B30">
            <v>30.175342465753424</v>
          </cell>
          <cell r="C30" t="str">
            <v>Dal</v>
          </cell>
          <cell r="D30" t="str">
            <v>Brenden Morrow</v>
          </cell>
          <cell r="E30">
            <v>18</v>
          </cell>
          <cell r="F30">
            <v>5</v>
          </cell>
          <cell r="G30">
            <v>10</v>
          </cell>
        </row>
        <row r="31">
          <cell r="B31">
            <v>28.47945205479452</v>
          </cell>
          <cell r="C31" t="str">
            <v>Van</v>
          </cell>
          <cell r="D31" t="str">
            <v>Daniel Sedin</v>
          </cell>
          <cell r="E31">
            <v>66</v>
          </cell>
          <cell r="F31">
            <v>25</v>
          </cell>
          <cell r="G31">
            <v>39</v>
          </cell>
        </row>
        <row r="32">
          <cell r="B32">
            <v>21.613698630136987</v>
          </cell>
          <cell r="C32" t="str">
            <v>Pit</v>
          </cell>
          <cell r="D32" t="str">
            <v>Sidney Crosby</v>
          </cell>
          <cell r="E32">
            <v>64</v>
          </cell>
          <cell r="F32">
            <v>26</v>
          </cell>
          <cell r="G32">
            <v>60</v>
          </cell>
        </row>
        <row r="33">
          <cell r="B33">
            <v>34.443835616438356</v>
          </cell>
          <cell r="C33" t="str">
            <v>Nsh</v>
          </cell>
          <cell r="D33" t="str">
            <v>Jason Arnott</v>
          </cell>
          <cell r="E33">
            <v>61</v>
          </cell>
          <cell r="F33">
            <v>27</v>
          </cell>
          <cell r="G33">
            <v>22</v>
          </cell>
        </row>
        <row r="34">
          <cell r="B34">
            <v>31.454794520547946</v>
          </cell>
          <cell r="C34" t="str">
            <v>Phi</v>
          </cell>
          <cell r="D34" t="str">
            <v>Daniel Briere</v>
          </cell>
          <cell r="E34">
            <v>12</v>
          </cell>
          <cell r="F34">
            <v>5</v>
          </cell>
          <cell r="G34">
            <v>4</v>
          </cell>
        </row>
        <row r="35">
          <cell r="B35">
            <v>30.96986301369863</v>
          </cell>
          <cell r="C35" t="str">
            <v>Nsh</v>
          </cell>
          <cell r="D35" t="str">
            <v>Jean-Pierre Dumont</v>
          </cell>
          <cell r="E35">
            <v>68</v>
          </cell>
          <cell r="F35">
            <v>13</v>
          </cell>
          <cell r="G35">
            <v>39</v>
          </cell>
        </row>
        <row r="36">
          <cell r="B36">
            <v>20.326027397260273</v>
          </cell>
          <cell r="C36" t="str">
            <v>Chi</v>
          </cell>
          <cell r="D36" t="str">
            <v>Patrick Kane</v>
          </cell>
          <cell r="E36">
            <v>63</v>
          </cell>
          <cell r="F36">
            <v>21</v>
          </cell>
          <cell r="G36">
            <v>38</v>
          </cell>
        </row>
        <row r="37">
          <cell r="B37">
            <v>23.224657534246575</v>
          </cell>
          <cell r="C37" t="str">
            <v>Col</v>
          </cell>
          <cell r="D37" t="str">
            <v>Paul Stastny</v>
          </cell>
          <cell r="E37">
            <v>42</v>
          </cell>
          <cell r="F37">
            <v>10</v>
          </cell>
          <cell r="G37">
            <v>25</v>
          </cell>
        </row>
        <row r="38">
          <cell r="B38">
            <v>25.6</v>
          </cell>
          <cell r="C38" t="str">
            <v>Edm</v>
          </cell>
          <cell r="D38" t="str">
            <v>Ales Hemsky</v>
          </cell>
          <cell r="E38">
            <v>57</v>
          </cell>
          <cell r="F38">
            <v>21</v>
          </cell>
          <cell r="G38">
            <v>35</v>
          </cell>
        </row>
        <row r="39">
          <cell r="B39">
            <v>34.09041095890411</v>
          </cell>
          <cell r="C39" t="str">
            <v>T.B.</v>
          </cell>
          <cell r="D39" t="str">
            <v>Vaclav Prospal</v>
          </cell>
          <cell r="E39">
            <v>68</v>
          </cell>
          <cell r="F39">
            <v>17</v>
          </cell>
          <cell r="G39">
            <v>25</v>
          </cell>
        </row>
        <row r="41">
          <cell r="B41">
            <v>30.29041095890411</v>
          </cell>
          <cell r="C41" t="str">
            <v>Cgy</v>
          </cell>
          <cell r="D41" t="str">
            <v>Olli Jokinen</v>
          </cell>
          <cell r="E41">
            <v>62</v>
          </cell>
          <cell r="F41">
            <v>26</v>
          </cell>
          <cell r="G41">
            <v>21</v>
          </cell>
        </row>
        <row r="42">
          <cell r="B42">
            <v>38.9013698630137</v>
          </cell>
          <cell r="C42" t="str">
            <v>Det</v>
          </cell>
          <cell r="D42" t="str">
            <v>Nicklas Lidstrom</v>
          </cell>
          <cell r="E42">
            <v>65</v>
          </cell>
          <cell r="F42">
            <v>13</v>
          </cell>
          <cell r="G42">
            <v>35</v>
          </cell>
        </row>
        <row r="43">
          <cell r="B43">
            <v>29.24109589041096</v>
          </cell>
          <cell r="C43" t="str">
            <v>Nyr</v>
          </cell>
          <cell r="D43" t="str">
            <v>Scott Gomez</v>
          </cell>
          <cell r="E43">
            <v>63</v>
          </cell>
          <cell r="F43">
            <v>16</v>
          </cell>
          <cell r="G43">
            <v>35</v>
          </cell>
        </row>
        <row r="44">
          <cell r="B44">
            <v>24.756164383561643</v>
          </cell>
          <cell r="C44" t="str">
            <v>Cbj</v>
          </cell>
          <cell r="D44" t="str">
            <v>Rick Nash</v>
          </cell>
          <cell r="E44">
            <v>64</v>
          </cell>
          <cell r="F44">
            <v>32</v>
          </cell>
          <cell r="G44">
            <v>33</v>
          </cell>
        </row>
        <row r="45">
          <cell r="B45">
            <v>26.383561643835616</v>
          </cell>
          <cell r="C45" t="str">
            <v>Mtl</v>
          </cell>
          <cell r="D45" t="str">
            <v>Tomas Plekanec</v>
          </cell>
          <cell r="E45">
            <v>66</v>
          </cell>
          <cell r="F45">
            <v>19</v>
          </cell>
          <cell r="G45">
            <v>18</v>
          </cell>
        </row>
        <row r="46">
          <cell r="B46">
            <v>21.317808219178083</v>
          </cell>
          <cell r="C46" t="str">
            <v>Wsh</v>
          </cell>
          <cell r="D46" t="str">
            <v>Nicklas Backstrom</v>
          </cell>
          <cell r="E46">
            <v>68</v>
          </cell>
          <cell r="F46">
            <v>18</v>
          </cell>
          <cell r="G46">
            <v>53</v>
          </cell>
        </row>
        <row r="47">
          <cell r="B47">
            <v>26.75068493150685</v>
          </cell>
          <cell r="C47" t="str">
            <v>L.A.</v>
          </cell>
          <cell r="D47" t="str">
            <v>Alex Frolov</v>
          </cell>
          <cell r="E47">
            <v>66</v>
          </cell>
          <cell r="F47">
            <v>27</v>
          </cell>
          <cell r="G47">
            <v>25</v>
          </cell>
        </row>
        <row r="48">
          <cell r="B48">
            <v>30.186301369863013</v>
          </cell>
          <cell r="C48" t="str">
            <v>Det</v>
          </cell>
          <cell r="D48" t="str">
            <v>Marian Hossa</v>
          </cell>
          <cell r="E48">
            <v>62</v>
          </cell>
          <cell r="F48">
            <v>34</v>
          </cell>
          <cell r="G48">
            <v>27</v>
          </cell>
        </row>
        <row r="49">
          <cell r="B49">
            <v>30.35890410958904</v>
          </cell>
          <cell r="C49" t="str">
            <v>Cbj</v>
          </cell>
          <cell r="D49" t="str">
            <v>Kristian Huselius</v>
          </cell>
          <cell r="E49">
            <v>64</v>
          </cell>
          <cell r="F49">
            <v>19</v>
          </cell>
          <cell r="G49">
            <v>28</v>
          </cell>
        </row>
        <row r="50">
          <cell r="B50">
            <v>34.93972602739726</v>
          </cell>
          <cell r="C50" t="str">
            <v>Pit</v>
          </cell>
          <cell r="D50" t="str">
            <v>Sergei Gonchar</v>
          </cell>
          <cell r="E50">
            <v>12</v>
          </cell>
          <cell r="F50">
            <v>3</v>
          </cell>
          <cell r="G50">
            <v>5</v>
          </cell>
        </row>
        <row r="51">
          <cell r="B51">
            <v>35.25205479452055</v>
          </cell>
          <cell r="C51" t="str">
            <v>Fla</v>
          </cell>
          <cell r="D51" t="str">
            <v>Cory Stillman</v>
          </cell>
          <cell r="E51">
            <v>48</v>
          </cell>
          <cell r="F51">
            <v>13</v>
          </cell>
          <cell r="G51">
            <v>25</v>
          </cell>
        </row>
        <row r="52">
          <cell r="B52">
            <v>32.47945205479452</v>
          </cell>
          <cell r="C52" t="str">
            <v>Cgy</v>
          </cell>
          <cell r="D52" t="str">
            <v>Daymond Langkow</v>
          </cell>
          <cell r="E52">
            <v>59</v>
          </cell>
          <cell r="F52">
            <v>19</v>
          </cell>
          <cell r="G52">
            <v>24</v>
          </cell>
        </row>
        <row r="53">
          <cell r="B53">
            <v>24.64109589041096</v>
          </cell>
          <cell r="C53" t="str">
            <v>N.J.</v>
          </cell>
          <cell r="D53" t="str">
            <v>Zach Parise</v>
          </cell>
          <cell r="E53">
            <v>67</v>
          </cell>
          <cell r="F53">
            <v>40</v>
          </cell>
          <cell r="G53">
            <v>40</v>
          </cell>
        </row>
        <row r="54">
          <cell r="B54">
            <v>34.43013698630137</v>
          </cell>
          <cell r="C54" t="str">
            <v>Stl</v>
          </cell>
          <cell r="D54" t="str">
            <v>Paul Kariya</v>
          </cell>
          <cell r="E54">
            <v>11</v>
          </cell>
          <cell r="F54">
            <v>2</v>
          </cell>
          <cell r="G54">
            <v>13</v>
          </cell>
        </row>
        <row r="55">
          <cell r="B55">
            <v>26.923287671232877</v>
          </cell>
          <cell r="C55" t="str">
            <v>Stl</v>
          </cell>
          <cell r="D55" t="str">
            <v>Brad Boyes</v>
          </cell>
          <cell r="E55">
            <v>67</v>
          </cell>
          <cell r="F55">
            <v>28</v>
          </cell>
          <cell r="G55">
            <v>29</v>
          </cell>
        </row>
        <row r="56">
          <cell r="B56">
            <v>25.164383561643834</v>
          </cell>
          <cell r="C56" t="str">
            <v>Buf</v>
          </cell>
          <cell r="D56" t="str">
            <v>Thomas Vanek</v>
          </cell>
          <cell r="E56">
            <v>57</v>
          </cell>
          <cell r="F56">
            <v>34</v>
          </cell>
          <cell r="G56">
            <v>20</v>
          </cell>
        </row>
        <row r="57">
          <cell r="B57">
            <v>24.893150684931506</v>
          </cell>
          <cell r="C57" t="str">
            <v>Min</v>
          </cell>
          <cell r="D57" t="str">
            <v>Pierre-Marc Bouchard</v>
          </cell>
          <cell r="E57">
            <v>64</v>
          </cell>
          <cell r="F57">
            <v>16</v>
          </cell>
          <cell r="G57">
            <v>27</v>
          </cell>
        </row>
        <row r="58">
          <cell r="B58">
            <v>32.33424657534247</v>
          </cell>
          <cell r="C58" t="str">
            <v>Pit</v>
          </cell>
          <cell r="D58" t="str">
            <v>Petr Sykora</v>
          </cell>
          <cell r="E58">
            <v>63</v>
          </cell>
          <cell r="F58">
            <v>23</v>
          </cell>
          <cell r="G58">
            <v>21</v>
          </cell>
        </row>
        <row r="59">
          <cell r="B59">
            <v>28.882191780821916</v>
          </cell>
          <cell r="C59" t="str">
            <v>Dal</v>
          </cell>
          <cell r="D59" t="str">
            <v>Brad Richards</v>
          </cell>
          <cell r="E59">
            <v>55</v>
          </cell>
          <cell r="F59">
            <v>16</v>
          </cell>
          <cell r="G59">
            <v>32</v>
          </cell>
        </row>
        <row r="60">
          <cell r="B60">
            <v>27.22739726027397</v>
          </cell>
          <cell r="C60" t="str">
            <v>Chi</v>
          </cell>
          <cell r="D60" t="str">
            <v>Patrick Sharp</v>
          </cell>
          <cell r="E60">
            <v>54</v>
          </cell>
          <cell r="F60">
            <v>23</v>
          </cell>
          <cell r="G60">
            <v>15</v>
          </cell>
        </row>
        <row r="61">
          <cell r="B61">
            <v>31.273972602739725</v>
          </cell>
          <cell r="C61" t="str">
            <v>Nyi</v>
          </cell>
          <cell r="D61" t="str">
            <v>Mark Streit</v>
          </cell>
          <cell r="E61">
            <v>63</v>
          </cell>
          <cell r="F61">
            <v>12</v>
          </cell>
          <cell r="G61">
            <v>36</v>
          </cell>
        </row>
        <row r="62">
          <cell r="B62">
            <v>23.805479452054794</v>
          </cell>
          <cell r="C62" t="str">
            <v>Fla</v>
          </cell>
          <cell r="D62" t="str">
            <v>Nathan Horton</v>
          </cell>
          <cell r="E62">
            <v>57</v>
          </cell>
          <cell r="F62">
            <v>19</v>
          </cell>
          <cell r="G62">
            <v>19</v>
          </cell>
        </row>
        <row r="63">
          <cell r="B63">
            <v>29.827397260273973</v>
          </cell>
          <cell r="C63" t="str">
            <v>Chi</v>
          </cell>
          <cell r="D63" t="str">
            <v>Brian Campbell</v>
          </cell>
          <cell r="E63">
            <v>65</v>
          </cell>
          <cell r="F63">
            <v>7</v>
          </cell>
          <cell r="G63">
            <v>37</v>
          </cell>
        </row>
        <row r="64">
          <cell r="B64">
            <v>36.87123287671233</v>
          </cell>
          <cell r="C64" t="str">
            <v>Car</v>
          </cell>
          <cell r="D64" t="str">
            <v>Ray Whitney</v>
          </cell>
          <cell r="E64">
            <v>70</v>
          </cell>
          <cell r="F64">
            <v>22</v>
          </cell>
          <cell r="G64">
            <v>38</v>
          </cell>
        </row>
        <row r="65">
          <cell r="B65">
            <v>24.367123287671234</v>
          </cell>
          <cell r="C65" t="str">
            <v>Nyr</v>
          </cell>
          <cell r="D65" t="str">
            <v>Nikolai Zherdev</v>
          </cell>
          <cell r="E65">
            <v>68</v>
          </cell>
          <cell r="F65">
            <v>19</v>
          </cell>
          <cell r="G65">
            <v>32</v>
          </cell>
        </row>
        <row r="66">
          <cell r="B66">
            <v>24.36986301369863</v>
          </cell>
          <cell r="C66" t="str">
            <v>L.A.</v>
          </cell>
          <cell r="D66" t="str">
            <v>Dustin Brown</v>
          </cell>
          <cell r="E66">
            <v>64</v>
          </cell>
          <cell r="F66">
            <v>23</v>
          </cell>
          <cell r="G66">
            <v>27</v>
          </cell>
        </row>
        <row r="67">
          <cell r="B67">
            <v>23.93972602739726</v>
          </cell>
          <cell r="C67" t="str">
            <v>Cgy</v>
          </cell>
          <cell r="D67" t="str">
            <v>Dion Phaneuf</v>
          </cell>
          <cell r="E67">
            <v>68</v>
          </cell>
          <cell r="F67">
            <v>9</v>
          </cell>
          <cell r="G67">
            <v>30</v>
          </cell>
        </row>
        <row r="68">
          <cell r="B68">
            <v>36.07945205479452</v>
          </cell>
          <cell r="C68" t="str">
            <v>N.J.</v>
          </cell>
          <cell r="D68" t="str">
            <v>Brian Rolston</v>
          </cell>
          <cell r="E68">
            <v>49</v>
          </cell>
          <cell r="F68">
            <v>13</v>
          </cell>
          <cell r="G68">
            <v>12</v>
          </cell>
        </row>
        <row r="69">
          <cell r="B69">
            <v>35.57534246575342</v>
          </cell>
          <cell r="C69" t="str">
            <v>Min</v>
          </cell>
          <cell r="D69" t="str">
            <v>Andrew Brunette</v>
          </cell>
          <cell r="E69">
            <v>65</v>
          </cell>
          <cell r="F69">
            <v>15</v>
          </cell>
          <cell r="G69">
            <v>21</v>
          </cell>
        </row>
        <row r="70">
          <cell r="B70">
            <v>29.328767123287673</v>
          </cell>
          <cell r="C70" t="str">
            <v>Mtl</v>
          </cell>
          <cell r="D70" t="str">
            <v>Alex Tanguay</v>
          </cell>
          <cell r="E70">
            <v>38</v>
          </cell>
          <cell r="F70">
            <v>11</v>
          </cell>
          <cell r="G70">
            <v>18</v>
          </cell>
        </row>
        <row r="71">
          <cell r="B71">
            <v>36.983561643835614</v>
          </cell>
          <cell r="C71" t="str">
            <v>Stl</v>
          </cell>
          <cell r="D71" t="str">
            <v>Keith Tkachuk</v>
          </cell>
          <cell r="E71">
            <v>65</v>
          </cell>
          <cell r="F71">
            <v>20</v>
          </cell>
          <cell r="G71">
            <v>18</v>
          </cell>
        </row>
        <row r="73">
          <cell r="B73">
            <v>30.24931506849315</v>
          </cell>
          <cell r="C73" t="str">
            <v>Mtl</v>
          </cell>
          <cell r="D73" t="str">
            <v>Andrei Markov</v>
          </cell>
          <cell r="E73">
            <v>68</v>
          </cell>
          <cell r="F73">
            <v>9</v>
          </cell>
          <cell r="G73">
            <v>43</v>
          </cell>
        </row>
        <row r="74">
          <cell r="B74">
            <v>32.583561643835615</v>
          </cell>
          <cell r="C74" t="str">
            <v>Nyr</v>
          </cell>
          <cell r="D74" t="str">
            <v>Chris Drury</v>
          </cell>
          <cell r="E74">
            <v>68</v>
          </cell>
          <cell r="F74">
            <v>17</v>
          </cell>
          <cell r="G74">
            <v>27</v>
          </cell>
        </row>
        <row r="75">
          <cell r="B75">
            <v>27.556164383561644</v>
          </cell>
          <cell r="C75" t="str">
            <v>Nsh</v>
          </cell>
          <cell r="D75" t="str">
            <v>Matin Erat</v>
          </cell>
          <cell r="E75">
            <v>63</v>
          </cell>
          <cell r="F75">
            <v>16</v>
          </cell>
          <cell r="G75">
            <v>26</v>
          </cell>
        </row>
        <row r="76">
          <cell r="B76">
            <v>38.79178082191781</v>
          </cell>
          <cell r="C76" t="str">
            <v>Dal</v>
          </cell>
          <cell r="D76" t="str">
            <v>Mike Modano</v>
          </cell>
          <cell r="E76">
            <v>67</v>
          </cell>
          <cell r="F76">
            <v>15</v>
          </cell>
          <cell r="G76">
            <v>28</v>
          </cell>
        </row>
        <row r="77">
          <cell r="B77">
            <v>29.084931506849315</v>
          </cell>
          <cell r="C77" t="str">
            <v>Nyr</v>
          </cell>
          <cell r="D77" t="str">
            <v>Nik Antropov</v>
          </cell>
          <cell r="E77">
            <v>67</v>
          </cell>
          <cell r="F77">
            <v>22</v>
          </cell>
          <cell r="G77">
            <v>27</v>
          </cell>
        </row>
        <row r="78">
          <cell r="B78">
            <v>27.767123287671232</v>
          </cell>
          <cell r="C78" t="str">
            <v>T.B.</v>
          </cell>
          <cell r="D78" t="str">
            <v>Radim Vrbata</v>
          </cell>
        </row>
        <row r="79">
          <cell r="B79">
            <v>34.326027397260276</v>
          </cell>
          <cell r="C79" t="str">
            <v>Mtl</v>
          </cell>
          <cell r="D79" t="str">
            <v>Saku Koivu</v>
          </cell>
          <cell r="E79">
            <v>51</v>
          </cell>
          <cell r="F79">
            <v>13</v>
          </cell>
          <cell r="G79">
            <v>25</v>
          </cell>
        </row>
        <row r="80">
          <cell r="B80">
            <v>30.53150684931507</v>
          </cell>
          <cell r="C80" t="str">
            <v>Bos</v>
          </cell>
          <cell r="D80" t="str">
            <v>Marco Sturm</v>
          </cell>
        </row>
        <row r="81">
          <cell r="B81">
            <v>23.432876712328767</v>
          </cell>
          <cell r="C81" t="str">
            <v>Wsh</v>
          </cell>
          <cell r="D81" t="str">
            <v>Mike Green</v>
          </cell>
          <cell r="E81">
            <v>55</v>
          </cell>
          <cell r="F81">
            <v>23</v>
          </cell>
          <cell r="G81">
            <v>36</v>
          </cell>
        </row>
        <row r="82">
          <cell r="B82">
            <v>35.47945205479452</v>
          </cell>
          <cell r="C82" t="str">
            <v>Det</v>
          </cell>
          <cell r="D82" t="str">
            <v>Brian Rafalski</v>
          </cell>
          <cell r="E82">
            <v>68</v>
          </cell>
          <cell r="F82">
            <v>9</v>
          </cell>
          <cell r="G82">
            <v>44</v>
          </cell>
        </row>
        <row r="83">
          <cell r="B83">
            <v>32.93698630136986</v>
          </cell>
          <cell r="C83" t="str">
            <v>N.J.</v>
          </cell>
          <cell r="D83" t="str">
            <v>Patrik Elias</v>
          </cell>
          <cell r="E83">
            <v>67</v>
          </cell>
          <cell r="F83">
            <v>27</v>
          </cell>
          <cell r="G83">
            <v>44</v>
          </cell>
        </row>
        <row r="84">
          <cell r="B84">
            <v>24.279452054794522</v>
          </cell>
          <cell r="C84" t="str">
            <v>S.J.</v>
          </cell>
          <cell r="D84" t="str">
            <v>Milan Michalek</v>
          </cell>
          <cell r="E84">
            <v>61</v>
          </cell>
          <cell r="F84">
            <v>18</v>
          </cell>
          <cell r="G84">
            <v>29</v>
          </cell>
        </row>
        <row r="85">
          <cell r="B85">
            <v>35.64383561643836</v>
          </cell>
          <cell r="C85" t="str">
            <v>Nyr</v>
          </cell>
          <cell r="D85" t="str">
            <v>Markus Naslund</v>
          </cell>
          <cell r="E85">
            <v>68</v>
          </cell>
          <cell r="F85">
            <v>21</v>
          </cell>
          <cell r="G85">
            <v>19</v>
          </cell>
        </row>
        <row r="86">
          <cell r="B86">
            <v>36.71506849315068</v>
          </cell>
          <cell r="C86" t="str">
            <v>Phi</v>
          </cell>
          <cell r="D86" t="str">
            <v>Mike Knuble</v>
          </cell>
          <cell r="E86">
            <v>65</v>
          </cell>
          <cell r="F86">
            <v>23</v>
          </cell>
          <cell r="G86">
            <v>18</v>
          </cell>
        </row>
        <row r="87">
          <cell r="B87">
            <v>20.884931506849316</v>
          </cell>
          <cell r="C87" t="str">
            <v>Chi</v>
          </cell>
          <cell r="D87" t="str">
            <v>Jonathan Toews</v>
          </cell>
          <cell r="E87">
            <v>65</v>
          </cell>
          <cell r="F87">
            <v>28</v>
          </cell>
          <cell r="G87">
            <v>29</v>
          </cell>
        </row>
        <row r="88">
          <cell r="B88">
            <v>34.30958904109589</v>
          </cell>
          <cell r="C88" t="str">
            <v>Van</v>
          </cell>
          <cell r="D88" t="str">
            <v>Pavol Demitra</v>
          </cell>
          <cell r="E88">
            <v>53</v>
          </cell>
          <cell r="F88">
            <v>17</v>
          </cell>
          <cell r="G88">
            <v>25</v>
          </cell>
        </row>
        <row r="89">
          <cell r="B89">
            <v>23.84109589041096</v>
          </cell>
          <cell r="C89" t="str">
            <v>Ana</v>
          </cell>
          <cell r="D89" t="str">
            <v>Corey Perry</v>
          </cell>
          <cell r="E89">
            <v>64</v>
          </cell>
          <cell r="F89">
            <v>23</v>
          </cell>
          <cell r="G89">
            <v>34</v>
          </cell>
        </row>
        <row r="90">
          <cell r="B90">
            <v>38.25753424657534</v>
          </cell>
          <cell r="C90" t="str">
            <v>Mtl</v>
          </cell>
          <cell r="D90" t="str">
            <v>Robert Lang</v>
          </cell>
          <cell r="E90">
            <v>50</v>
          </cell>
          <cell r="F90">
            <v>18</v>
          </cell>
          <cell r="G90">
            <v>21</v>
          </cell>
        </row>
        <row r="91">
          <cell r="B91">
            <v>33.0986301369863</v>
          </cell>
          <cell r="C91" t="str">
            <v>Col</v>
          </cell>
          <cell r="D91" t="str">
            <v>Milan Hejduk</v>
          </cell>
          <cell r="E91">
            <v>68</v>
          </cell>
          <cell r="F91">
            <v>25</v>
          </cell>
          <cell r="G91">
            <v>28</v>
          </cell>
        </row>
        <row r="92">
          <cell r="B92">
            <v>20.926027397260274</v>
          </cell>
          <cell r="C92" t="str">
            <v>Phx</v>
          </cell>
          <cell r="D92" t="str">
            <v>Peter Mueller</v>
          </cell>
          <cell r="E92">
            <v>59</v>
          </cell>
          <cell r="F92">
            <v>12</v>
          </cell>
          <cell r="G92">
            <v>21</v>
          </cell>
        </row>
        <row r="93">
          <cell r="B93">
            <v>34.0986301369863</v>
          </cell>
          <cell r="C93" t="str">
            <v>Wsh</v>
          </cell>
          <cell r="D93" t="str">
            <v>Viktor Kozlov</v>
          </cell>
          <cell r="E93">
            <v>53</v>
          </cell>
          <cell r="F93">
            <v>11</v>
          </cell>
          <cell r="G93">
            <v>22</v>
          </cell>
        </row>
        <row r="94">
          <cell r="B94">
            <v>24.12054794520548</v>
          </cell>
          <cell r="C94" t="str">
            <v>Mtl</v>
          </cell>
          <cell r="D94" t="str">
            <v>Andrei Kostitsyn</v>
          </cell>
          <cell r="E94">
            <v>64</v>
          </cell>
          <cell r="F94">
            <v>23</v>
          </cell>
          <cell r="G94">
            <v>17</v>
          </cell>
        </row>
        <row r="95">
          <cell r="B95">
            <v>26.665753424657535</v>
          </cell>
          <cell r="C95" t="str">
            <v>Cbj</v>
          </cell>
          <cell r="D95" t="str">
            <v>Antoine Vermette</v>
          </cell>
          <cell r="E95">
            <v>65</v>
          </cell>
          <cell r="F95">
            <v>10</v>
          </cell>
          <cell r="G95">
            <v>22</v>
          </cell>
        </row>
        <row r="96">
          <cell r="B96">
            <v>24.126027397260273</v>
          </cell>
          <cell r="C96" t="str">
            <v>Edm</v>
          </cell>
          <cell r="D96" t="str">
            <v>Patrick O'Sullivan</v>
          </cell>
          <cell r="E96">
            <v>66</v>
          </cell>
          <cell r="F96">
            <v>15</v>
          </cell>
          <cell r="G96">
            <v>24</v>
          </cell>
        </row>
        <row r="97">
          <cell r="B97">
            <v>30.16986301369863</v>
          </cell>
          <cell r="C97" t="str">
            <v>N.J.</v>
          </cell>
          <cell r="D97" t="str">
            <v>Brian Gionta</v>
          </cell>
          <cell r="E97">
            <v>66</v>
          </cell>
          <cell r="F97">
            <v>15</v>
          </cell>
          <cell r="G97">
            <v>37</v>
          </cell>
        </row>
        <row r="98">
          <cell r="B98">
            <v>24.21095890410959</v>
          </cell>
          <cell r="C98" t="str">
            <v>Phi</v>
          </cell>
          <cell r="D98" t="str">
            <v>Jeff Carter</v>
          </cell>
          <cell r="E98">
            <v>65</v>
          </cell>
          <cell r="F98">
            <v>38</v>
          </cell>
          <cell r="G98">
            <v>30</v>
          </cell>
        </row>
        <row r="99">
          <cell r="B99">
            <v>31.052054794520547</v>
          </cell>
          <cell r="C99" t="str">
            <v>Tor</v>
          </cell>
          <cell r="D99" t="str">
            <v>Tomas Kaberle</v>
          </cell>
          <cell r="E99">
            <v>51</v>
          </cell>
          <cell r="F99">
            <v>4</v>
          </cell>
          <cell r="G99">
            <v>27</v>
          </cell>
        </row>
        <row r="100">
          <cell r="B100">
            <v>25.797260273972604</v>
          </cell>
          <cell r="C100" t="str">
            <v>Mtl</v>
          </cell>
          <cell r="D100" t="str">
            <v>Chis Higgins</v>
          </cell>
        </row>
        <row r="101">
          <cell r="B101">
            <v>31.56986301369863</v>
          </cell>
          <cell r="C101" t="str">
            <v>Stl</v>
          </cell>
          <cell r="D101" t="str">
            <v>Andy McDonald</v>
          </cell>
          <cell r="E101">
            <v>31</v>
          </cell>
          <cell r="F101">
            <v>11</v>
          </cell>
          <cell r="G101">
            <v>21</v>
          </cell>
        </row>
        <row r="102">
          <cell r="B102">
            <v>35.55068493150685</v>
          </cell>
          <cell r="C102" t="str">
            <v>Tor</v>
          </cell>
          <cell r="D102" t="str">
            <v>Jason Blake</v>
          </cell>
          <cell r="E102">
            <v>65</v>
          </cell>
          <cell r="F102">
            <v>22</v>
          </cell>
          <cell r="G102">
            <v>31</v>
          </cell>
        </row>
        <row r="103">
          <cell r="B103">
            <v>38.61917808219178</v>
          </cell>
          <cell r="C103" t="str">
            <v>Car</v>
          </cell>
          <cell r="D103" t="str">
            <v>Rob Brind'Amour</v>
          </cell>
          <cell r="E103">
            <v>68</v>
          </cell>
          <cell r="F103">
            <v>12</v>
          </cell>
          <cell r="G103">
            <v>26</v>
          </cell>
        </row>
        <row r="104">
          <cell r="B104">
            <v>30.36986301369863</v>
          </cell>
          <cell r="C104" t="str">
            <v>Car</v>
          </cell>
          <cell r="D104" t="str">
            <v>Erik Cole</v>
          </cell>
          <cell r="E104">
            <v>68</v>
          </cell>
          <cell r="F104">
            <v>17</v>
          </cell>
          <cell r="G104">
            <v>16</v>
          </cell>
        </row>
        <row r="105">
          <cell r="B105">
            <v>32.00821917808219</v>
          </cell>
          <cell r="C105" t="str">
            <v>Bos</v>
          </cell>
          <cell r="D105" t="str">
            <v>Zdeno Chara</v>
          </cell>
          <cell r="E105">
            <v>69</v>
          </cell>
          <cell r="F105">
            <v>16</v>
          </cell>
          <cell r="G105">
            <v>25</v>
          </cell>
        </row>
        <row r="106">
          <cell r="B106">
            <v>29.301369863013697</v>
          </cell>
          <cell r="C106" t="str">
            <v>T.B.</v>
          </cell>
          <cell r="D106" t="str">
            <v>Ryan Malone</v>
          </cell>
          <cell r="E106">
            <v>58</v>
          </cell>
          <cell r="F106">
            <v>24</v>
          </cell>
          <cell r="G106">
            <v>16</v>
          </cell>
        </row>
        <row r="107">
          <cell r="B107">
            <v>32.73424657534247</v>
          </cell>
          <cell r="C107" t="str">
            <v>Phx</v>
          </cell>
          <cell r="D107" t="str">
            <v>Ed Jovanovski</v>
          </cell>
          <cell r="E107">
            <v>68</v>
          </cell>
          <cell r="F107">
            <v>6</v>
          </cell>
          <cell r="G107">
            <v>24</v>
          </cell>
        </row>
        <row r="108">
          <cell r="B108">
            <v>30.506849315068493</v>
          </cell>
          <cell r="C108" t="str">
            <v>Edm</v>
          </cell>
          <cell r="D108" t="str">
            <v>Shawn Horcoff</v>
          </cell>
          <cell r="E108">
            <v>65</v>
          </cell>
          <cell r="F108">
            <v>15</v>
          </cell>
          <cell r="G108">
            <v>30</v>
          </cell>
        </row>
        <row r="109">
          <cell r="B109">
            <v>26.87945205479452</v>
          </cell>
          <cell r="C109" t="str">
            <v>Cbj</v>
          </cell>
          <cell r="D109" t="str">
            <v>R.J. Umberger</v>
          </cell>
          <cell r="E109">
            <v>68</v>
          </cell>
          <cell r="F109">
            <v>23</v>
          </cell>
          <cell r="G109">
            <v>15</v>
          </cell>
        </row>
        <row r="110">
          <cell r="B110">
            <v>29.482191780821918</v>
          </cell>
          <cell r="C110" t="str">
            <v>Pit</v>
          </cell>
          <cell r="D110" t="str">
            <v>Chris Kunitz</v>
          </cell>
          <cell r="E110">
            <v>69</v>
          </cell>
          <cell r="F110">
            <v>19</v>
          </cell>
          <cell r="G110">
            <v>24</v>
          </cell>
        </row>
        <row r="111">
          <cell r="B111">
            <v>32.38082191780822</v>
          </cell>
          <cell r="C111" t="str">
            <v>Car</v>
          </cell>
          <cell r="D111" t="str">
            <v>Matt Cullen</v>
          </cell>
          <cell r="E111">
            <v>65</v>
          </cell>
          <cell r="F111">
            <v>20</v>
          </cell>
          <cell r="G111">
            <v>19</v>
          </cell>
        </row>
        <row r="112">
          <cell r="B112">
            <v>31.747945205479454</v>
          </cell>
          <cell r="C112" t="str">
            <v>Buf</v>
          </cell>
          <cell r="D112" t="str">
            <v>Jochen Hecht</v>
          </cell>
          <cell r="E112">
            <v>55</v>
          </cell>
          <cell r="F112">
            <v>9</v>
          </cell>
          <cell r="G112">
            <v>12</v>
          </cell>
        </row>
        <row r="113">
          <cell r="B113">
            <v>28.52054794520548</v>
          </cell>
          <cell r="C113" t="str">
            <v>Ott</v>
          </cell>
          <cell r="D113" t="str">
            <v>Mike Comrie</v>
          </cell>
          <cell r="E113">
            <v>51</v>
          </cell>
          <cell r="F113">
            <v>9</v>
          </cell>
          <cell r="G113">
            <v>16</v>
          </cell>
        </row>
        <row r="114">
          <cell r="B114">
            <v>19.602739726027398</v>
          </cell>
          <cell r="C114" t="str">
            <v>Edm</v>
          </cell>
          <cell r="D114" t="str">
            <v>Sam Gagner</v>
          </cell>
          <cell r="E114">
            <v>61</v>
          </cell>
          <cell r="F114">
            <v>10</v>
          </cell>
          <cell r="G114">
            <v>16</v>
          </cell>
        </row>
        <row r="115">
          <cell r="B115">
            <v>41.13972602739726</v>
          </cell>
          <cell r="C115" t="str">
            <v>Bos</v>
          </cell>
          <cell r="D115" t="str">
            <v>Mark Recchi</v>
          </cell>
          <cell r="E115">
            <v>67</v>
          </cell>
          <cell r="F115">
            <v>15</v>
          </cell>
          <cell r="G115">
            <v>32</v>
          </cell>
        </row>
        <row r="116">
          <cell r="B116">
            <v>31.75068493150685</v>
          </cell>
          <cell r="C116" t="str">
            <v>Car</v>
          </cell>
          <cell r="D116" t="str">
            <v>Joseph Corvo</v>
          </cell>
          <cell r="E116">
            <v>70</v>
          </cell>
          <cell r="F116">
            <v>13</v>
          </cell>
          <cell r="G116">
            <v>17</v>
          </cell>
        </row>
        <row r="117">
          <cell r="B117">
            <v>23.063013698630137</v>
          </cell>
          <cell r="C117" t="str">
            <v>Col</v>
          </cell>
          <cell r="D117" t="str">
            <v>Wojtek Wolski</v>
          </cell>
          <cell r="E117">
            <v>67</v>
          </cell>
          <cell r="F117">
            <v>14</v>
          </cell>
          <cell r="G117">
            <v>23</v>
          </cell>
        </row>
        <row r="118">
          <cell r="B118">
            <v>29.512328767123286</v>
          </cell>
          <cell r="C118" t="str">
            <v>S.J.</v>
          </cell>
          <cell r="D118" t="str">
            <v>Patrick Marleau</v>
          </cell>
          <cell r="E118">
            <v>66</v>
          </cell>
          <cell r="F118">
            <v>35</v>
          </cell>
          <cell r="G118">
            <v>31</v>
          </cell>
        </row>
        <row r="119">
          <cell r="B119">
            <v>26.78082191780822</v>
          </cell>
          <cell r="C119" t="str">
            <v>Cgy</v>
          </cell>
          <cell r="D119" t="str">
            <v>Mike Cammelleri</v>
          </cell>
          <cell r="E119">
            <v>67</v>
          </cell>
          <cell r="F119">
            <v>34</v>
          </cell>
          <cell r="G119">
            <v>36</v>
          </cell>
        </row>
        <row r="120">
          <cell r="B120">
            <v>28.78904109589041</v>
          </cell>
          <cell r="C120" t="str">
            <v>Ott</v>
          </cell>
          <cell r="D120" t="str">
            <v>Mike Fisher</v>
          </cell>
          <cell r="E120">
            <v>63</v>
          </cell>
          <cell r="F120">
            <v>11</v>
          </cell>
          <cell r="G120">
            <v>16</v>
          </cell>
        </row>
        <row r="121">
          <cell r="B121">
            <v>26.473972602739725</v>
          </cell>
          <cell r="C121" t="str">
            <v>Edm</v>
          </cell>
          <cell r="D121" t="str">
            <v>Justin Penner</v>
          </cell>
          <cell r="E121">
            <v>64</v>
          </cell>
          <cell r="F121">
            <v>14</v>
          </cell>
          <cell r="G121">
            <v>15</v>
          </cell>
        </row>
        <row r="122">
          <cell r="B122">
            <v>25.487671232876714</v>
          </cell>
          <cell r="C122" t="str">
            <v>Phi</v>
          </cell>
          <cell r="D122" t="str">
            <v>Joffrey Lupul</v>
          </cell>
          <cell r="E122">
            <v>62</v>
          </cell>
          <cell r="F122">
            <v>20</v>
          </cell>
          <cell r="G122">
            <v>22</v>
          </cell>
        </row>
        <row r="123">
          <cell r="B123">
            <v>40.16164383561644</v>
          </cell>
          <cell r="C123" t="str">
            <v>N.J.</v>
          </cell>
          <cell r="D123" t="str">
            <v>Brendan Shanahan</v>
          </cell>
          <cell r="E123">
            <v>20</v>
          </cell>
          <cell r="F123">
            <v>4</v>
          </cell>
          <cell r="G123">
            <v>6</v>
          </cell>
        </row>
        <row r="124">
          <cell r="B124">
            <v>32.87123287671233</v>
          </cell>
          <cell r="C124" t="str">
            <v>Phx</v>
          </cell>
          <cell r="D124" t="str">
            <v>Steven Reinprecht</v>
          </cell>
          <cell r="E124">
            <v>63</v>
          </cell>
          <cell r="F124">
            <v>12</v>
          </cell>
          <cell r="G124">
            <v>22</v>
          </cell>
        </row>
        <row r="125">
          <cell r="B125">
            <v>33.38630136986301</v>
          </cell>
          <cell r="C125" t="str">
            <v>Atl</v>
          </cell>
          <cell r="D125" t="str">
            <v>Eric Perrin</v>
          </cell>
        </row>
        <row r="126">
          <cell r="B126">
            <v>21.76164383561644</v>
          </cell>
          <cell r="C126" t="str">
            <v>Edm</v>
          </cell>
          <cell r="D126" t="str">
            <v>Andrew Cogliano</v>
          </cell>
          <cell r="E126">
            <v>67</v>
          </cell>
          <cell r="F126">
            <v>16</v>
          </cell>
          <cell r="G126">
            <v>18</v>
          </cell>
        </row>
        <row r="127">
          <cell r="B127">
            <v>28.589041095890412</v>
          </cell>
          <cell r="C127" t="str">
            <v>Nsh</v>
          </cell>
          <cell r="D127" t="str">
            <v>David Legwand</v>
          </cell>
          <cell r="E127">
            <v>68</v>
          </cell>
          <cell r="F127">
            <v>19</v>
          </cell>
          <cell r="G127">
            <v>20</v>
          </cell>
        </row>
        <row r="128">
          <cell r="B128">
            <v>34.010958904109586</v>
          </cell>
          <cell r="C128" t="str">
            <v>Phi</v>
          </cell>
          <cell r="D128" t="str">
            <v>Kimmo Timonen</v>
          </cell>
          <cell r="E128">
            <v>60</v>
          </cell>
          <cell r="F128">
            <v>3</v>
          </cell>
          <cell r="G128">
            <v>30</v>
          </cell>
        </row>
        <row r="129">
          <cell r="B129">
            <v>38.367123287671234</v>
          </cell>
          <cell r="C129" t="str">
            <v>Pit</v>
          </cell>
          <cell r="D129" t="str">
            <v>Bill Guerin</v>
          </cell>
          <cell r="E129">
            <v>65</v>
          </cell>
          <cell r="F129">
            <v>17</v>
          </cell>
          <cell r="G129">
            <v>24</v>
          </cell>
        </row>
        <row r="130">
          <cell r="B130">
            <v>30.24109589041096</v>
          </cell>
          <cell r="C130" t="str">
            <v>Edm</v>
          </cell>
          <cell r="D130" t="str">
            <v>Ales Kotalik</v>
          </cell>
          <cell r="E130">
            <v>60</v>
          </cell>
          <cell r="F130">
            <v>13</v>
          </cell>
          <cell r="G130">
            <v>19</v>
          </cell>
        </row>
        <row r="131">
          <cell r="B131">
            <v>32.12602739726027</v>
          </cell>
          <cell r="C131" t="str">
            <v>Min</v>
          </cell>
          <cell r="D131" t="str">
            <v>Marek Zidlcky</v>
          </cell>
          <cell r="E131">
            <v>62</v>
          </cell>
          <cell r="F131">
            <v>11</v>
          </cell>
          <cell r="G131">
            <v>22</v>
          </cell>
        </row>
        <row r="132">
          <cell r="B132">
            <v>26.92054794520548</v>
          </cell>
          <cell r="C132" t="str">
            <v>Phi</v>
          </cell>
          <cell r="D132" t="str">
            <v>Scott Hartnell</v>
          </cell>
          <cell r="E132">
            <v>65</v>
          </cell>
          <cell r="F132">
            <v>24</v>
          </cell>
          <cell r="G132">
            <v>26</v>
          </cell>
        </row>
        <row r="133">
          <cell r="B133">
            <v>34.446575342465756</v>
          </cell>
          <cell r="C133" t="str">
            <v>Ana</v>
          </cell>
          <cell r="D133" t="str">
            <v>Chris Pronger</v>
          </cell>
          <cell r="E133">
            <v>68</v>
          </cell>
          <cell r="F133">
            <v>10</v>
          </cell>
          <cell r="G133">
            <v>30</v>
          </cell>
        </row>
        <row r="134">
          <cell r="B134">
            <v>24.027397260273972</v>
          </cell>
          <cell r="C134" t="str">
            <v>Min</v>
          </cell>
          <cell r="D134" t="str">
            <v>Brent Burns</v>
          </cell>
          <cell r="E134">
            <v>60</v>
          </cell>
          <cell r="F134">
            <v>8</v>
          </cell>
          <cell r="G134">
            <v>19</v>
          </cell>
        </row>
        <row r="135">
          <cell r="B135">
            <v>26.02191780821918</v>
          </cell>
          <cell r="C135" t="str">
            <v>Min</v>
          </cell>
          <cell r="D135" t="str">
            <v>Mikko Koivu</v>
          </cell>
          <cell r="E135">
            <v>67</v>
          </cell>
          <cell r="F135">
            <v>17</v>
          </cell>
          <cell r="G135">
            <v>44</v>
          </cell>
        </row>
        <row r="136">
          <cell r="B136">
            <v>30.254794520547946</v>
          </cell>
          <cell r="C136" t="str">
            <v>Det</v>
          </cell>
          <cell r="D136" t="str">
            <v>Daniel Cleary</v>
          </cell>
          <cell r="E136">
            <v>60</v>
          </cell>
          <cell r="F136">
            <v>13</v>
          </cell>
          <cell r="G136">
            <v>23</v>
          </cell>
        </row>
        <row r="137">
          <cell r="B137">
            <v>25.043835616438358</v>
          </cell>
          <cell r="C137" t="str">
            <v>Wsh</v>
          </cell>
          <cell r="D137" t="str">
            <v>Alexander Semin</v>
          </cell>
          <cell r="E137">
            <v>49</v>
          </cell>
          <cell r="F137">
            <v>28</v>
          </cell>
          <cell r="G137">
            <v>35</v>
          </cell>
        </row>
        <row r="138">
          <cell r="B138">
            <v>25.96712328767123</v>
          </cell>
          <cell r="C138" t="str">
            <v>Car</v>
          </cell>
          <cell r="D138" t="str">
            <v>Jussi Jokinen</v>
          </cell>
          <cell r="E138">
            <v>59</v>
          </cell>
          <cell r="F138">
            <v>7</v>
          </cell>
          <cell r="G138">
            <v>14</v>
          </cell>
        </row>
        <row r="139">
          <cell r="B139">
            <v>25.96164383561644</v>
          </cell>
          <cell r="C139" t="str">
            <v>Fla</v>
          </cell>
          <cell r="D139" t="str">
            <v>Stephen Weiss</v>
          </cell>
          <cell r="E139">
            <v>63</v>
          </cell>
          <cell r="F139">
            <v>11</v>
          </cell>
          <cell r="G139">
            <v>37</v>
          </cell>
        </row>
        <row r="140">
          <cell r="B140">
            <v>25.04931506849315</v>
          </cell>
          <cell r="C140" t="str">
            <v>Stl</v>
          </cell>
          <cell r="D140" t="str">
            <v>Alexander Steen</v>
          </cell>
        </row>
        <row r="141">
          <cell r="B141">
            <v>25.205479452054796</v>
          </cell>
          <cell r="C141" t="str">
            <v>Det</v>
          </cell>
          <cell r="D141" t="str">
            <v>Jiri Hulder</v>
          </cell>
          <cell r="E141">
            <v>68</v>
          </cell>
          <cell r="F141">
            <v>20</v>
          </cell>
          <cell r="G141">
            <v>30</v>
          </cell>
        </row>
        <row r="143">
          <cell r="B143">
            <v>33.66027397260274</v>
          </cell>
          <cell r="C143" t="str">
            <v>N.J.</v>
          </cell>
          <cell r="D143" t="str">
            <v>Jamie Langenbrunner</v>
          </cell>
          <cell r="E143">
            <v>66</v>
          </cell>
          <cell r="F143">
            <v>22</v>
          </cell>
          <cell r="G143">
            <v>37</v>
          </cell>
        </row>
        <row r="145">
          <cell r="B145">
            <v>39.273972602739725</v>
          </cell>
          <cell r="C145" t="str">
            <v>Wsh</v>
          </cell>
          <cell r="D145" t="str">
            <v>Sergei Fedorov</v>
          </cell>
          <cell r="E145">
            <v>41</v>
          </cell>
          <cell r="F145">
            <v>8</v>
          </cell>
          <cell r="G145">
            <v>20</v>
          </cell>
        </row>
        <row r="146">
          <cell r="B146">
            <v>24.186301369863013</v>
          </cell>
          <cell r="C146" t="str">
            <v>Edm</v>
          </cell>
          <cell r="D146" t="str">
            <v>Robert Nilsson</v>
          </cell>
        </row>
        <row r="147">
          <cell r="B147">
            <v>34.413698630136984</v>
          </cell>
          <cell r="C147" t="str">
            <v>Pit</v>
          </cell>
          <cell r="D147" t="str">
            <v>Mirolav Satan</v>
          </cell>
          <cell r="E147">
            <v>65</v>
          </cell>
          <cell r="F147">
            <v>17</v>
          </cell>
          <cell r="G147">
            <v>19</v>
          </cell>
        </row>
        <row r="148">
          <cell r="B148">
            <v>36.88493150684931</v>
          </cell>
          <cell r="C148" t="str">
            <v>Atl</v>
          </cell>
          <cell r="D148" t="str">
            <v>Vyacheslav Kozlov</v>
          </cell>
          <cell r="E148">
            <v>68</v>
          </cell>
          <cell r="F148">
            <v>18</v>
          </cell>
          <cell r="G148">
            <v>40</v>
          </cell>
        </row>
        <row r="149">
          <cell r="B149">
            <v>32.608219178082194</v>
          </cell>
          <cell r="C149" t="str">
            <v>Edm</v>
          </cell>
          <cell r="D149" t="str">
            <v>Lubomir Visnovsky</v>
          </cell>
          <cell r="E149">
            <v>50</v>
          </cell>
          <cell r="F149">
            <v>8</v>
          </cell>
          <cell r="G149">
            <v>23</v>
          </cell>
        </row>
        <row r="150">
          <cell r="B150">
            <v>28.706849315068492</v>
          </cell>
          <cell r="C150" t="str">
            <v>Nyi</v>
          </cell>
          <cell r="D150" t="str">
            <v>Trent Hunter</v>
          </cell>
          <cell r="E150">
            <v>55</v>
          </cell>
          <cell r="F150">
            <v>14</v>
          </cell>
          <cell r="G150">
            <v>17</v>
          </cell>
        </row>
        <row r="151">
          <cell r="B151">
            <v>29.29041095890411</v>
          </cell>
          <cell r="C151" t="str">
            <v>Tor</v>
          </cell>
          <cell r="D151" t="str">
            <v>Niklas Hagman</v>
          </cell>
          <cell r="E151">
            <v>58</v>
          </cell>
          <cell r="F151">
            <v>19</v>
          </cell>
          <cell r="G151">
            <v>18</v>
          </cell>
        </row>
        <row r="152">
          <cell r="B152">
            <v>39.70958904109589</v>
          </cell>
          <cell r="C152" t="str">
            <v>Col</v>
          </cell>
          <cell r="D152" t="str">
            <v>Joe Sakic</v>
          </cell>
          <cell r="E152">
            <v>15</v>
          </cell>
          <cell r="F152">
            <v>2</v>
          </cell>
          <cell r="G152">
            <v>10</v>
          </cell>
        </row>
        <row r="153">
          <cell r="B153">
            <v>27.86849315068493</v>
          </cell>
          <cell r="C153" t="str">
            <v>Buf</v>
          </cell>
          <cell r="D153" t="str">
            <v>Tim Connolly</v>
          </cell>
          <cell r="E153">
            <v>33</v>
          </cell>
          <cell r="F153">
            <v>13</v>
          </cell>
          <cell r="G153">
            <v>19</v>
          </cell>
        </row>
        <row r="154">
          <cell r="B154">
            <v>36.15890410958904</v>
          </cell>
          <cell r="C154" t="str">
            <v>Det</v>
          </cell>
          <cell r="D154" t="str">
            <v>Thomas Holmstrom</v>
          </cell>
          <cell r="E154">
            <v>40</v>
          </cell>
          <cell r="F154">
            <v>14</v>
          </cell>
          <cell r="G154">
            <v>17</v>
          </cell>
        </row>
        <row r="155">
          <cell r="B155">
            <v>34.131506849315066</v>
          </cell>
          <cell r="C155" t="str">
            <v>Cgy</v>
          </cell>
          <cell r="D155" t="str">
            <v>Todd Bertuzzi</v>
          </cell>
          <cell r="E155">
            <v>57</v>
          </cell>
          <cell r="F155">
            <v>15</v>
          </cell>
          <cell r="G155">
            <v>28</v>
          </cell>
        </row>
        <row r="156">
          <cell r="B156">
            <v>31.931506849315067</v>
          </cell>
          <cell r="C156" t="str">
            <v>Tor</v>
          </cell>
          <cell r="D156" t="str">
            <v>Pavel Kubina</v>
          </cell>
          <cell r="E156">
            <v>69</v>
          </cell>
          <cell r="F156">
            <v>13</v>
          </cell>
          <cell r="G156">
            <v>25</v>
          </cell>
        </row>
        <row r="157">
          <cell r="B157">
            <v>26.07945205479452</v>
          </cell>
          <cell r="C157" t="str">
            <v>Ana</v>
          </cell>
          <cell r="D157" t="str">
            <v>Ryan Whitney</v>
          </cell>
          <cell r="E157">
            <v>34</v>
          </cell>
          <cell r="F157">
            <v>2</v>
          </cell>
          <cell r="G157">
            <v>14</v>
          </cell>
        </row>
        <row r="158">
          <cell r="B158">
            <v>22.887671232876713</v>
          </cell>
          <cell r="C158" t="str">
            <v>Nyr</v>
          </cell>
          <cell r="D158" t="str">
            <v>Brandon Dubinsky</v>
          </cell>
          <cell r="E158">
            <v>68</v>
          </cell>
          <cell r="F158">
            <v>8</v>
          </cell>
          <cell r="G158">
            <v>24</v>
          </cell>
        </row>
        <row r="159">
          <cell r="B159">
            <v>24.687671232876713</v>
          </cell>
          <cell r="C159" t="str">
            <v>S.J.</v>
          </cell>
          <cell r="D159" t="str">
            <v>Joe Pavelski</v>
          </cell>
          <cell r="E159">
            <v>64</v>
          </cell>
          <cell r="F159">
            <v>20</v>
          </cell>
          <cell r="G159">
            <v>27</v>
          </cell>
        </row>
        <row r="160">
          <cell r="B160">
            <v>39.52602739726027</v>
          </cell>
          <cell r="C160" t="str">
            <v>Mtl</v>
          </cell>
          <cell r="D160" t="str">
            <v>Mathieu Schneider</v>
          </cell>
          <cell r="E160">
            <v>55</v>
          </cell>
          <cell r="F160">
            <v>7</v>
          </cell>
          <cell r="G160">
            <v>17</v>
          </cell>
        </row>
        <row r="161">
          <cell r="B161">
            <v>26.923287671232877</v>
          </cell>
          <cell r="C161" t="str">
            <v>Bos</v>
          </cell>
          <cell r="D161" t="str">
            <v>Chuck Kobasew</v>
          </cell>
          <cell r="E161">
            <v>55</v>
          </cell>
          <cell r="F161">
            <v>17</v>
          </cell>
          <cell r="G161">
            <v>17</v>
          </cell>
        </row>
        <row r="162">
          <cell r="B162">
            <v>23.383561643835616</v>
          </cell>
          <cell r="C162" t="str">
            <v>Buf</v>
          </cell>
          <cell r="D162" t="str">
            <v>Drew Stafford</v>
          </cell>
          <cell r="E162">
            <v>64</v>
          </cell>
          <cell r="F162">
            <v>19</v>
          </cell>
          <cell r="G162">
            <v>22</v>
          </cell>
        </row>
        <row r="163">
          <cell r="B163">
            <v>29.24109589041096</v>
          </cell>
          <cell r="C163" t="str">
            <v>Det</v>
          </cell>
          <cell r="D163" t="str">
            <v>Johan Franzen</v>
          </cell>
          <cell r="E163">
            <v>57</v>
          </cell>
          <cell r="F163">
            <v>27</v>
          </cell>
          <cell r="G163">
            <v>16</v>
          </cell>
        </row>
        <row r="164">
          <cell r="B164">
            <v>30.545205479452054</v>
          </cell>
          <cell r="C164" t="str">
            <v>Nyr</v>
          </cell>
          <cell r="D164" t="str">
            <v>Michal Rozsival</v>
          </cell>
          <cell r="E164">
            <v>67</v>
          </cell>
          <cell r="F164">
            <v>8</v>
          </cell>
          <cell r="G164">
            <v>21</v>
          </cell>
        </row>
        <row r="165">
          <cell r="B165">
            <v>31.77260273972603</v>
          </cell>
          <cell r="C165" t="str">
            <v>Nyr</v>
          </cell>
          <cell r="D165" t="str">
            <v>Wade Redden</v>
          </cell>
          <cell r="E165">
            <v>67</v>
          </cell>
          <cell r="F165">
            <v>3</v>
          </cell>
          <cell r="G165">
            <v>19</v>
          </cell>
        </row>
        <row r="166">
          <cell r="B166">
            <v>26.12054794520548</v>
          </cell>
          <cell r="C166" t="str">
            <v>Tor</v>
          </cell>
          <cell r="D166" t="str">
            <v>Lee Stempniak</v>
          </cell>
          <cell r="E166">
            <v>63</v>
          </cell>
          <cell r="F166">
            <v>13</v>
          </cell>
          <cell r="G166">
            <v>24</v>
          </cell>
        </row>
        <row r="167">
          <cell r="B167">
            <v>24.367123287671234</v>
          </cell>
          <cell r="C167" t="str">
            <v>Atl</v>
          </cell>
          <cell r="D167" t="str">
            <v>Tobias Enstrom</v>
          </cell>
          <cell r="E167">
            <v>68</v>
          </cell>
          <cell r="F167">
            <v>3</v>
          </cell>
          <cell r="G167">
            <v>15</v>
          </cell>
        </row>
        <row r="168">
          <cell r="B168">
            <v>30.76164383561644</v>
          </cell>
          <cell r="C168" t="str">
            <v>N.J.</v>
          </cell>
          <cell r="D168" t="str">
            <v>Dainius Zubrus</v>
          </cell>
        </row>
        <row r="169">
          <cell r="B169">
            <v>36.465753424657535</v>
          </cell>
          <cell r="C169" t="str">
            <v>Wsh</v>
          </cell>
          <cell r="D169" t="str">
            <v>Michael Nylander</v>
          </cell>
          <cell r="E169">
            <v>58</v>
          </cell>
          <cell r="F169">
            <v>7</v>
          </cell>
          <cell r="G169">
            <v>20</v>
          </cell>
        </row>
        <row r="170">
          <cell r="B170">
            <v>35.74246575342466</v>
          </cell>
          <cell r="C170" t="str">
            <v>Dal</v>
          </cell>
          <cell r="D170" t="str">
            <v>Jere Lehtinen</v>
          </cell>
          <cell r="E170">
            <v>35</v>
          </cell>
          <cell r="F170">
            <v>8</v>
          </cell>
          <cell r="G170">
            <v>15</v>
          </cell>
        </row>
        <row r="171">
          <cell r="B171">
            <v>33.07945205479452</v>
          </cell>
          <cell r="C171" t="str">
            <v>Col</v>
          </cell>
          <cell r="D171" t="str">
            <v>Ryan Smyth</v>
          </cell>
          <cell r="E171">
            <v>68</v>
          </cell>
          <cell r="F171">
            <v>24</v>
          </cell>
          <cell r="G171">
            <v>32</v>
          </cell>
        </row>
        <row r="172">
          <cell r="B172">
            <v>26.756164383561643</v>
          </cell>
          <cell r="C172" t="str">
            <v>Col</v>
          </cell>
          <cell r="D172" t="str">
            <v>Marek Svatos</v>
          </cell>
          <cell r="E172">
            <v>60</v>
          </cell>
          <cell r="F172">
            <v>14</v>
          </cell>
          <cell r="G172">
            <v>18</v>
          </cell>
        </row>
        <row r="173">
          <cell r="B173">
            <v>30.6</v>
          </cell>
          <cell r="C173" t="str">
            <v>Fla</v>
          </cell>
          <cell r="D173" t="str">
            <v>Brett McLean</v>
          </cell>
        </row>
        <row r="174">
          <cell r="B174">
            <v>28.67945205479452</v>
          </cell>
          <cell r="C174" t="str">
            <v>S.J.</v>
          </cell>
          <cell r="D174" t="str">
            <v>Jonathan Cheechoo</v>
          </cell>
          <cell r="E174">
            <v>54</v>
          </cell>
          <cell r="F174">
            <v>9</v>
          </cell>
          <cell r="G174">
            <v>13</v>
          </cell>
        </row>
        <row r="175">
          <cell r="B175">
            <v>33.83561643835616</v>
          </cell>
          <cell r="C175" t="str">
            <v>Atl</v>
          </cell>
          <cell r="D175" t="str">
            <v>Todd White</v>
          </cell>
          <cell r="E175">
            <v>68</v>
          </cell>
          <cell r="F175">
            <v>18</v>
          </cell>
          <cell r="G175">
            <v>42</v>
          </cell>
        </row>
        <row r="178">
          <cell r="B178">
            <v>24.54794520547945</v>
          </cell>
          <cell r="C178" t="str">
            <v>Van</v>
          </cell>
          <cell r="D178" t="str">
            <v>Ryan Kesler</v>
          </cell>
          <cell r="E178">
            <v>66</v>
          </cell>
          <cell r="F178">
            <v>20</v>
          </cell>
          <cell r="G178">
            <v>24</v>
          </cell>
        </row>
        <row r="179">
          <cell r="B179">
            <v>21.46027397260274</v>
          </cell>
          <cell r="C179" t="str">
            <v>Bos</v>
          </cell>
          <cell r="D179" t="str">
            <v>Phil Kessel</v>
          </cell>
          <cell r="E179">
            <v>63</v>
          </cell>
          <cell r="F179">
            <v>29</v>
          </cell>
          <cell r="G179">
            <v>21</v>
          </cell>
        </row>
        <row r="180">
          <cell r="B180">
            <v>25.476712328767125</v>
          </cell>
          <cell r="C180" t="str">
            <v>Fla</v>
          </cell>
          <cell r="D180" t="str">
            <v>Jay Bouwmeester</v>
          </cell>
          <cell r="E180">
            <v>67</v>
          </cell>
          <cell r="F180">
            <v>13</v>
          </cell>
          <cell r="G180">
            <v>22</v>
          </cell>
        </row>
        <row r="181">
          <cell r="B181">
            <v>25.73972602739726</v>
          </cell>
          <cell r="C181" t="str">
            <v>Wsh</v>
          </cell>
          <cell r="D181" t="str">
            <v>Brooks Laich</v>
          </cell>
          <cell r="E181">
            <v>58</v>
          </cell>
          <cell r="F181">
            <v>16</v>
          </cell>
          <cell r="G181">
            <v>22</v>
          </cell>
        </row>
        <row r="182">
          <cell r="B182">
            <v>28.605479452054794</v>
          </cell>
          <cell r="C182" t="str">
            <v>Cbj</v>
          </cell>
          <cell r="D182" t="str">
            <v>Jason Williams</v>
          </cell>
          <cell r="E182">
            <v>66</v>
          </cell>
          <cell r="F182">
            <v>15</v>
          </cell>
          <cell r="G182">
            <v>22</v>
          </cell>
        </row>
        <row r="183">
          <cell r="B183">
            <v>30.397260273972602</v>
          </cell>
          <cell r="C183" t="str">
            <v>Car</v>
          </cell>
          <cell r="D183" t="str">
            <v>Sergei Samsonov</v>
          </cell>
          <cell r="E183">
            <v>69</v>
          </cell>
          <cell r="F183">
            <v>14</v>
          </cell>
          <cell r="G183">
            <v>28</v>
          </cell>
        </row>
        <row r="185">
          <cell r="B185">
            <v>23.97808219178082</v>
          </cell>
          <cell r="C185" t="str">
            <v>Chi</v>
          </cell>
          <cell r="D185" t="str">
            <v>Dustin Byfuglien</v>
          </cell>
          <cell r="E185">
            <v>60</v>
          </cell>
          <cell r="F185">
            <v>11</v>
          </cell>
          <cell r="G185">
            <v>12</v>
          </cell>
        </row>
        <row r="186">
          <cell r="B186">
            <v>24.997260273972604</v>
          </cell>
          <cell r="C186" t="str">
            <v>Det</v>
          </cell>
          <cell r="D186" t="str">
            <v>Valtteri Filppula</v>
          </cell>
          <cell r="E186">
            <v>68</v>
          </cell>
          <cell r="F186">
            <v>10</v>
          </cell>
          <cell r="G186">
            <v>26</v>
          </cell>
        </row>
        <row r="187">
          <cell r="B187">
            <v>24.054794520547944</v>
          </cell>
          <cell r="C187" t="str">
            <v>Phi</v>
          </cell>
          <cell r="D187" t="str">
            <v>Braydon Coburn</v>
          </cell>
          <cell r="E187">
            <v>63</v>
          </cell>
          <cell r="F187">
            <v>7</v>
          </cell>
          <cell r="G187">
            <v>16</v>
          </cell>
        </row>
        <row r="188">
          <cell r="B188">
            <v>26.736986301369864</v>
          </cell>
          <cell r="C188" t="str">
            <v>L.A.</v>
          </cell>
          <cell r="D188" t="str">
            <v>Jarret Stoll</v>
          </cell>
          <cell r="E188">
            <v>66</v>
          </cell>
          <cell r="F188">
            <v>18</v>
          </cell>
          <cell r="G188">
            <v>22</v>
          </cell>
        </row>
        <row r="189">
          <cell r="B189">
            <v>26</v>
          </cell>
          <cell r="C189" t="str">
            <v>Bos</v>
          </cell>
          <cell r="D189" t="str">
            <v>Dennis Wideman</v>
          </cell>
          <cell r="E189">
            <v>68</v>
          </cell>
          <cell r="F189">
            <v>12</v>
          </cell>
          <cell r="G189">
            <v>32</v>
          </cell>
        </row>
        <row r="191">
          <cell r="B191">
            <v>27.005479452054793</v>
          </cell>
          <cell r="C191" t="str">
            <v>Phx</v>
          </cell>
          <cell r="D191" t="str">
            <v>Matthew Lombardi</v>
          </cell>
          <cell r="E191">
            <v>55</v>
          </cell>
          <cell r="F191">
            <v>10</v>
          </cell>
          <cell r="G191">
            <v>24</v>
          </cell>
        </row>
        <row r="192">
          <cell r="B192">
            <v>23.43013698630137</v>
          </cell>
          <cell r="C192" t="str">
            <v>T.B.</v>
          </cell>
          <cell r="D192" t="str">
            <v>Andrej Meszaros</v>
          </cell>
          <cell r="E192">
            <v>52</v>
          </cell>
          <cell r="F192">
            <v>2</v>
          </cell>
          <cell r="G192">
            <v>14</v>
          </cell>
        </row>
        <row r="193">
          <cell r="B193">
            <v>38.66849315068493</v>
          </cell>
          <cell r="C193" t="str">
            <v>Dal</v>
          </cell>
          <cell r="D193" t="str">
            <v>Sergei Zubov</v>
          </cell>
        </row>
        <row r="194">
          <cell r="B194">
            <v>28.183561643835617</v>
          </cell>
          <cell r="C194" t="str">
            <v>Det</v>
          </cell>
          <cell r="D194" t="str">
            <v>Niklas Kronvall</v>
          </cell>
          <cell r="E194">
            <v>66</v>
          </cell>
          <cell r="F194">
            <v>3</v>
          </cell>
          <cell r="G194">
            <v>38</v>
          </cell>
        </row>
        <row r="195">
          <cell r="B195">
            <v>28.947945205479453</v>
          </cell>
          <cell r="C195" t="str">
            <v>Tor</v>
          </cell>
          <cell r="D195" t="str">
            <v>Alexei Ponikarovsky</v>
          </cell>
          <cell r="E195">
            <v>69</v>
          </cell>
          <cell r="F195">
            <v>19</v>
          </cell>
          <cell r="G195">
            <v>25</v>
          </cell>
        </row>
        <row r="196">
          <cell r="B196">
            <v>26.32054794520548</v>
          </cell>
          <cell r="C196" t="str">
            <v>Atl</v>
          </cell>
          <cell r="D196" t="str">
            <v>Colby Armstrong</v>
          </cell>
          <cell r="E196">
            <v>68</v>
          </cell>
          <cell r="F196">
            <v>16</v>
          </cell>
          <cell r="G196">
            <v>10</v>
          </cell>
        </row>
        <row r="197">
          <cell r="B197">
            <v>22.073972602739726</v>
          </cell>
          <cell r="C197" t="str">
            <v>Phx</v>
          </cell>
          <cell r="D197" t="str">
            <v>Martin Hanzal</v>
          </cell>
          <cell r="E197">
            <v>62</v>
          </cell>
          <cell r="F197">
            <v>10</v>
          </cell>
          <cell r="G197">
            <v>17</v>
          </cell>
        </row>
        <row r="198">
          <cell r="B198">
            <v>34.52054794520548</v>
          </cell>
          <cell r="C198" t="str">
            <v>Buf</v>
          </cell>
          <cell r="D198" t="str">
            <v>Craig Rivet</v>
          </cell>
          <cell r="E198">
            <v>49</v>
          </cell>
          <cell r="F198">
            <v>1</v>
          </cell>
          <cell r="G198">
            <v>18</v>
          </cell>
        </row>
        <row r="199">
          <cell r="B199">
            <v>35.71780821917808</v>
          </cell>
          <cell r="C199" t="str">
            <v>Cgy</v>
          </cell>
          <cell r="D199" t="str">
            <v>Adrian Aucoin</v>
          </cell>
          <cell r="E199">
            <v>68</v>
          </cell>
          <cell r="F199">
            <v>10</v>
          </cell>
          <cell r="G199">
            <v>19</v>
          </cell>
        </row>
        <row r="200">
          <cell r="B200">
            <v>24.926027397260274</v>
          </cell>
          <cell r="C200" t="str">
            <v>Buf</v>
          </cell>
          <cell r="D200" t="str">
            <v>Dan Paille</v>
          </cell>
        </row>
        <row r="205">
          <cell r="B205">
            <v>28.71232876712329</v>
          </cell>
          <cell r="C205" t="str">
            <v>Min</v>
          </cell>
          <cell r="D205" t="str">
            <v>Antti Miettinen</v>
          </cell>
          <cell r="E205">
            <v>67</v>
          </cell>
          <cell r="F205">
            <v>14</v>
          </cell>
          <cell r="G205">
            <v>27</v>
          </cell>
        </row>
        <row r="206">
          <cell r="B206">
            <v>34.01917808219178</v>
          </cell>
          <cell r="C206" t="str">
            <v>Col</v>
          </cell>
          <cell r="D206" t="str">
            <v>Darcy Tucker</v>
          </cell>
        </row>
        <row r="208">
          <cell r="B208">
            <v>23.84931506849315</v>
          </cell>
          <cell r="C208" t="str">
            <v>N.J.</v>
          </cell>
          <cell r="D208" t="str">
            <v>Travis Zajac</v>
          </cell>
          <cell r="E208">
            <v>67</v>
          </cell>
          <cell r="F208">
            <v>19</v>
          </cell>
          <cell r="G208">
            <v>36</v>
          </cell>
        </row>
        <row r="210">
          <cell r="B210">
            <v>28.942465753424656</v>
          </cell>
          <cell r="C210" t="str">
            <v>NHL</v>
          </cell>
          <cell r="D210" t="str">
            <v>Sean Avery</v>
          </cell>
        </row>
        <row r="211">
          <cell r="B211">
            <v>30.16986301369863</v>
          </cell>
          <cell r="C211" t="str">
            <v>Pit</v>
          </cell>
          <cell r="D211" t="str">
            <v>Ruslan Fedotenko</v>
          </cell>
          <cell r="E211">
            <v>52</v>
          </cell>
          <cell r="F211">
            <v>13</v>
          </cell>
          <cell r="G211">
            <v>16</v>
          </cell>
        </row>
        <row r="212">
          <cell r="B212">
            <v>39.178082191780824</v>
          </cell>
          <cell r="C212" t="str">
            <v>S.J.</v>
          </cell>
          <cell r="D212" t="str">
            <v>Jeremy Roenick</v>
          </cell>
          <cell r="E212">
            <v>33</v>
          </cell>
          <cell r="F212">
            <v>3</v>
          </cell>
          <cell r="G212">
            <v>7</v>
          </cell>
        </row>
        <row r="213">
          <cell r="B213">
            <v>20.991780821917807</v>
          </cell>
          <cell r="C213" t="str">
            <v>Stl</v>
          </cell>
          <cell r="D213" t="str">
            <v>Erik Johnson</v>
          </cell>
          <cell r="E213">
            <v>0</v>
          </cell>
        </row>
        <row r="214">
          <cell r="B214">
            <v>26.18904109589041</v>
          </cell>
          <cell r="C214" t="str">
            <v>Edm</v>
          </cell>
          <cell r="D214" t="str">
            <v>Tom Gilbert</v>
          </cell>
          <cell r="E214">
            <v>67</v>
          </cell>
          <cell r="F214">
            <v>4</v>
          </cell>
          <cell r="G214">
            <v>34</v>
          </cell>
        </row>
        <row r="216">
          <cell r="B216">
            <v>25.24931506849315</v>
          </cell>
          <cell r="C216" t="str">
            <v>Tor</v>
          </cell>
          <cell r="D216" t="str">
            <v>Matt Stajan</v>
          </cell>
          <cell r="E216">
            <v>63</v>
          </cell>
          <cell r="F216">
            <v>14</v>
          </cell>
          <cell r="G216">
            <v>32</v>
          </cell>
        </row>
        <row r="218">
          <cell r="B218">
            <v>35.106849315068494</v>
          </cell>
          <cell r="C218" t="str">
            <v>Buf</v>
          </cell>
          <cell r="D218" t="str">
            <v>Jaroslav Spacek</v>
          </cell>
          <cell r="E218">
            <v>65</v>
          </cell>
          <cell r="F218">
            <v>8</v>
          </cell>
          <cell r="G218">
            <v>27</v>
          </cell>
        </row>
        <row r="219">
          <cell r="B219">
            <v>28.041095890410958</v>
          </cell>
          <cell r="C219" t="str">
            <v>N.J.</v>
          </cell>
          <cell r="D219" t="str">
            <v>Paul Martin</v>
          </cell>
          <cell r="E219">
            <v>58</v>
          </cell>
          <cell r="F219">
            <v>4</v>
          </cell>
          <cell r="G219">
            <v>22</v>
          </cell>
        </row>
        <row r="220">
          <cell r="B220">
            <v>23.96712328767123</v>
          </cell>
          <cell r="C220" t="str">
            <v>Van</v>
          </cell>
          <cell r="D220" t="str">
            <v>Steve Bernier</v>
          </cell>
          <cell r="E220">
            <v>65</v>
          </cell>
          <cell r="F220">
            <v>14</v>
          </cell>
          <cell r="G220">
            <v>15</v>
          </cell>
        </row>
        <row r="221">
          <cell r="B221">
            <v>26.087671232876712</v>
          </cell>
          <cell r="C221" t="str">
            <v>Car</v>
          </cell>
          <cell r="D221" t="str">
            <v>Tuomo Ruutu</v>
          </cell>
          <cell r="E221">
            <v>67</v>
          </cell>
          <cell r="F221">
            <v>21</v>
          </cell>
          <cell r="G221">
            <v>25</v>
          </cell>
        </row>
        <row r="222">
          <cell r="B222">
            <v>37.106849315068494</v>
          </cell>
          <cell r="C222" t="str">
            <v>Min</v>
          </cell>
          <cell r="D222" t="str">
            <v>Owen Nolan</v>
          </cell>
          <cell r="E222">
            <v>44</v>
          </cell>
          <cell r="F222">
            <v>20</v>
          </cell>
          <cell r="G222">
            <v>14</v>
          </cell>
        </row>
        <row r="223">
          <cell r="B223">
            <v>27.98904109589041</v>
          </cell>
          <cell r="C223" t="str">
            <v>Atl</v>
          </cell>
          <cell r="D223" t="str">
            <v>Ron Hainsey</v>
          </cell>
          <cell r="E223">
            <v>68</v>
          </cell>
          <cell r="F223">
            <v>5</v>
          </cell>
          <cell r="G223">
            <v>29</v>
          </cell>
        </row>
        <row r="225">
          <cell r="B225">
            <v>28.315068493150687</v>
          </cell>
          <cell r="C225" t="str">
            <v>Col</v>
          </cell>
          <cell r="D225" t="str">
            <v>John-Michael Liles</v>
          </cell>
          <cell r="E225">
            <v>61</v>
          </cell>
          <cell r="F225">
            <v>9</v>
          </cell>
          <cell r="G225">
            <v>22</v>
          </cell>
        </row>
        <row r="226">
          <cell r="B226">
            <v>25.676712328767124</v>
          </cell>
          <cell r="C226" t="str">
            <v>Chi</v>
          </cell>
          <cell r="D226" t="str">
            <v>Duncan Keith</v>
          </cell>
          <cell r="E226">
            <v>61</v>
          </cell>
          <cell r="F226">
            <v>8</v>
          </cell>
          <cell r="G226">
            <v>26</v>
          </cell>
        </row>
        <row r="227">
          <cell r="B227">
            <v>23.912328767123288</v>
          </cell>
          <cell r="C227" t="str">
            <v>Chi</v>
          </cell>
          <cell r="D227" t="str">
            <v>Brent Seabrook</v>
          </cell>
          <cell r="E227">
            <v>65</v>
          </cell>
          <cell r="F227">
            <v>5</v>
          </cell>
          <cell r="G227">
            <v>11</v>
          </cell>
        </row>
        <row r="228">
          <cell r="B228">
            <v>23.671232876712327</v>
          </cell>
          <cell r="C228" t="str">
            <v>Dal</v>
          </cell>
          <cell r="D228" t="str">
            <v>Loui Eriksson</v>
          </cell>
          <cell r="E228">
            <v>68</v>
          </cell>
          <cell r="F228">
            <v>32</v>
          </cell>
          <cell r="G228">
            <v>20</v>
          </cell>
        </row>
        <row r="229">
          <cell r="B229">
            <v>28.96986301369863</v>
          </cell>
          <cell r="C229" t="str">
            <v>Bos</v>
          </cell>
          <cell r="D229" t="str">
            <v>Michael Ryder</v>
          </cell>
          <cell r="E229">
            <v>61</v>
          </cell>
          <cell r="F229">
            <v>23</v>
          </cell>
          <cell r="G229">
            <v>20</v>
          </cell>
        </row>
        <row r="231">
          <cell r="B231">
            <v>27.65753424657534</v>
          </cell>
          <cell r="C231" t="str">
            <v>Phi</v>
          </cell>
          <cell r="D231" t="str">
            <v>Randy Jones</v>
          </cell>
        </row>
        <row r="232">
          <cell r="B232">
            <v>39.28219178082192</v>
          </cell>
          <cell r="C232" t="str">
            <v>S.J.</v>
          </cell>
          <cell r="D232" t="str">
            <v>Rob Blake</v>
          </cell>
          <cell r="E232">
            <v>62</v>
          </cell>
          <cell r="F232">
            <v>9</v>
          </cell>
          <cell r="G232">
            <v>30</v>
          </cell>
        </row>
        <row r="234">
          <cell r="B234">
            <v>24.515068493150686</v>
          </cell>
          <cell r="C234" t="str">
            <v>T.B.</v>
          </cell>
          <cell r="D234" t="str">
            <v>Paul Ranger</v>
          </cell>
          <cell r="E234">
            <v>42</v>
          </cell>
          <cell r="F234">
            <v>2</v>
          </cell>
          <cell r="G234">
            <v>11</v>
          </cell>
        </row>
        <row r="235">
          <cell r="B235">
            <v>32.224657534246575</v>
          </cell>
          <cell r="C235" t="str">
            <v>Ott</v>
          </cell>
          <cell r="D235" t="str">
            <v>Filip Kuba</v>
          </cell>
          <cell r="E235">
            <v>56</v>
          </cell>
          <cell r="F235">
            <v>2</v>
          </cell>
          <cell r="G235">
            <v>28</v>
          </cell>
        </row>
        <row r="236">
          <cell r="B236">
            <v>24.156164383561645</v>
          </cell>
          <cell r="C236" t="str">
            <v>Nsh</v>
          </cell>
          <cell r="D236" t="str">
            <v>Ryan Suter</v>
          </cell>
          <cell r="E236">
            <v>68</v>
          </cell>
          <cell r="F236">
            <v>6</v>
          </cell>
          <cell r="G236">
            <v>31</v>
          </cell>
        </row>
        <row r="237">
          <cell r="B237">
            <v>24.816438356164383</v>
          </cell>
          <cell r="C237" t="str">
            <v>Edm</v>
          </cell>
          <cell r="D237" t="str">
            <v>Kyle Brodziak</v>
          </cell>
        </row>
        <row r="238">
          <cell r="B238">
            <v>29.884931506849316</v>
          </cell>
          <cell r="C238" t="str">
            <v>Cbj</v>
          </cell>
          <cell r="D238" t="str">
            <v>Jason Chimera</v>
          </cell>
        </row>
        <row r="239">
          <cell r="B239">
            <v>27.93972602739726</v>
          </cell>
          <cell r="C239" t="str">
            <v>Van</v>
          </cell>
          <cell r="D239" t="str">
            <v>Alexandre Burrows</v>
          </cell>
          <cell r="E239">
            <v>66</v>
          </cell>
          <cell r="F239">
            <v>20</v>
          </cell>
          <cell r="G239">
            <v>17</v>
          </cell>
        </row>
        <row r="240">
          <cell r="B240">
            <v>27.457534246575342</v>
          </cell>
          <cell r="C240" t="str">
            <v>L.A.</v>
          </cell>
          <cell r="D240" t="str">
            <v>Justin Williams</v>
          </cell>
          <cell r="E240">
            <v>33</v>
          </cell>
          <cell r="F240">
            <v>3</v>
          </cell>
          <cell r="G240">
            <v>7</v>
          </cell>
        </row>
        <row r="241">
          <cell r="B241">
            <v>25.44931506849315</v>
          </cell>
          <cell r="C241" t="str">
            <v>Phi</v>
          </cell>
          <cell r="D241" t="str">
            <v>Scottie Upshall</v>
          </cell>
        </row>
        <row r="243">
          <cell r="B243">
            <v>23.265753424657536</v>
          </cell>
          <cell r="C243" t="str">
            <v>Chi</v>
          </cell>
          <cell r="D243" t="str">
            <v>Andrew Ladd</v>
          </cell>
          <cell r="E243">
            <v>65</v>
          </cell>
          <cell r="F243">
            <v>11</v>
          </cell>
          <cell r="G243">
            <v>27</v>
          </cell>
        </row>
        <row r="244">
          <cell r="B244">
            <v>32.12876712328767</v>
          </cell>
          <cell r="C244" t="str">
            <v>Dal</v>
          </cell>
          <cell r="D244" t="str">
            <v>Mark Parrish</v>
          </cell>
          <cell r="E244">
            <v>41</v>
          </cell>
          <cell r="F244">
            <v>7</v>
          </cell>
          <cell r="G244">
            <v>5</v>
          </cell>
        </row>
        <row r="246">
          <cell r="B246">
            <v>24.84109589041096</v>
          </cell>
          <cell r="C246" t="str">
            <v>Wsh</v>
          </cell>
          <cell r="D246" t="str">
            <v>Tomas Fleischman</v>
          </cell>
          <cell r="E246">
            <v>59</v>
          </cell>
          <cell r="F246">
            <v>17</v>
          </cell>
          <cell r="G246">
            <v>15</v>
          </cell>
        </row>
        <row r="247">
          <cell r="B247">
            <v>34.38356164383562</v>
          </cell>
          <cell r="C247" t="str">
            <v>Col</v>
          </cell>
          <cell r="D247" t="str">
            <v>Ruslan Salei</v>
          </cell>
          <cell r="E247">
            <v>66</v>
          </cell>
          <cell r="F247">
            <v>4</v>
          </cell>
          <cell r="G247">
            <v>16</v>
          </cell>
        </row>
        <row r="248">
          <cell r="B248">
            <v>24.104109589041094</v>
          </cell>
          <cell r="C248" t="str">
            <v>Nyr</v>
          </cell>
          <cell r="D248" t="str">
            <v>Nigel Dawes</v>
          </cell>
        </row>
        <row r="249">
          <cell r="B249">
            <v>31.997260273972604</v>
          </cell>
          <cell r="C249" t="str">
            <v>Wsh</v>
          </cell>
          <cell r="D249" t="str">
            <v>Tom Poti</v>
          </cell>
          <cell r="E249">
            <v>41</v>
          </cell>
          <cell r="F249">
            <v>3</v>
          </cell>
          <cell r="G249">
            <v>10</v>
          </cell>
        </row>
        <row r="251">
          <cell r="B251">
            <v>29.542465753424658</v>
          </cell>
          <cell r="C251" t="str">
            <v>Buf</v>
          </cell>
          <cell r="D251" t="str">
            <v>Maxim Afinogenov</v>
          </cell>
          <cell r="E251">
            <v>37</v>
          </cell>
          <cell r="F251">
            <v>3</v>
          </cell>
          <cell r="G251">
            <v>12</v>
          </cell>
        </row>
        <row r="253">
          <cell r="B253">
            <v>20.517808219178082</v>
          </cell>
          <cell r="C253" t="str">
            <v>Pit</v>
          </cell>
          <cell r="D253" t="str">
            <v>Jordan Staal</v>
          </cell>
          <cell r="E253">
            <v>69</v>
          </cell>
          <cell r="F253">
            <v>18</v>
          </cell>
          <cell r="G253">
            <v>19</v>
          </cell>
        </row>
        <row r="254">
          <cell r="B254">
            <v>27.91780821917808</v>
          </cell>
          <cell r="C254" t="str">
            <v>Chi</v>
          </cell>
          <cell r="D254" t="str">
            <v>Martin Havlat</v>
          </cell>
          <cell r="E254">
            <v>64</v>
          </cell>
          <cell r="F254">
            <v>21</v>
          </cell>
          <cell r="G254">
            <v>36</v>
          </cell>
        </row>
        <row r="255">
          <cell r="B255">
            <v>24.12054794520548</v>
          </cell>
          <cell r="C255" t="str">
            <v>Mtl</v>
          </cell>
          <cell r="D255" t="str">
            <v>Sergei Kostitsyn</v>
          </cell>
          <cell r="E255">
            <v>53</v>
          </cell>
          <cell r="F255">
            <v>8</v>
          </cell>
          <cell r="G255">
            <v>15</v>
          </cell>
        </row>
        <row r="256">
          <cell r="B256">
            <v>22.567123287671233</v>
          </cell>
          <cell r="C256" t="str">
            <v>Bos</v>
          </cell>
          <cell r="D256" t="str">
            <v>David Krejci</v>
          </cell>
          <cell r="E256">
            <v>69</v>
          </cell>
          <cell r="F256">
            <v>21</v>
          </cell>
          <cell r="G256">
            <v>41</v>
          </cell>
        </row>
        <row r="257">
          <cell r="B257">
            <v>20.805479452054794</v>
          </cell>
          <cell r="C257" t="str">
            <v>Stl</v>
          </cell>
          <cell r="D257" t="str">
            <v>David Perron</v>
          </cell>
          <cell r="E257">
            <v>66</v>
          </cell>
          <cell r="F257">
            <v>11</v>
          </cell>
          <cell r="G257">
            <v>30</v>
          </cell>
        </row>
        <row r="258">
          <cell r="B258">
            <v>21.81917808219178</v>
          </cell>
          <cell r="C258" t="str">
            <v>Mtl</v>
          </cell>
          <cell r="D258" t="str">
            <v>Guillaume Latendresse</v>
          </cell>
          <cell r="E258">
            <v>43</v>
          </cell>
          <cell r="F258">
            <v>9</v>
          </cell>
          <cell r="G258">
            <v>9</v>
          </cell>
        </row>
        <row r="259">
          <cell r="B259">
            <v>20.778082191780822</v>
          </cell>
          <cell r="C259" t="str">
            <v>Bos</v>
          </cell>
          <cell r="D259" t="str">
            <v>Milan Lucic</v>
          </cell>
          <cell r="E259">
            <v>59</v>
          </cell>
          <cell r="F259">
            <v>13</v>
          </cell>
          <cell r="G259">
            <v>22</v>
          </cell>
        </row>
        <row r="260">
          <cell r="B260">
            <v>29.953424657534246</v>
          </cell>
          <cell r="C260" t="str">
            <v>Pit</v>
          </cell>
          <cell r="D260" t="str">
            <v>Pascal Dupuis</v>
          </cell>
          <cell r="E260">
            <v>58</v>
          </cell>
          <cell r="F260">
            <v>10</v>
          </cell>
          <cell r="G260">
            <v>12</v>
          </cell>
        </row>
        <row r="261">
          <cell r="B261">
            <v>33.013698630136986</v>
          </cell>
          <cell r="C261" t="str">
            <v>Min</v>
          </cell>
          <cell r="D261" t="str">
            <v>Kim Johnsson</v>
          </cell>
        </row>
        <row r="262">
          <cell r="B262">
            <v>26.265753424657536</v>
          </cell>
          <cell r="C262" t="str">
            <v>Nsh</v>
          </cell>
          <cell r="D262" t="str">
            <v>Dan Hamhuis</v>
          </cell>
        </row>
        <row r="268">
          <cell r="B268">
            <v>35.50410958904109</v>
          </cell>
          <cell r="C268" t="str">
            <v>Car</v>
          </cell>
          <cell r="D268" t="str">
            <v>Joni Pitkanen</v>
          </cell>
          <cell r="E268">
            <v>59</v>
          </cell>
          <cell r="F268">
            <v>6</v>
          </cell>
          <cell r="G268">
            <v>22</v>
          </cell>
        </row>
        <row r="271">
          <cell r="B271">
            <v>25.073972602739726</v>
          </cell>
          <cell r="C271" t="str">
            <v>Ana</v>
          </cell>
          <cell r="D271" t="str">
            <v>James Wisniewski</v>
          </cell>
          <cell r="E271">
            <v>31</v>
          </cell>
          <cell r="F271">
            <v>2</v>
          </cell>
          <cell r="G271">
            <v>11</v>
          </cell>
        </row>
        <row r="272">
          <cell r="B272">
            <v>27.465753424657535</v>
          </cell>
          <cell r="C272" t="str">
            <v>N.J.</v>
          </cell>
          <cell r="D272" t="str">
            <v>Johnny Oduya</v>
          </cell>
          <cell r="E272">
            <v>67</v>
          </cell>
          <cell r="F272">
            <v>6</v>
          </cell>
          <cell r="G272">
            <v>21</v>
          </cell>
        </row>
        <row r="273">
          <cell r="B273">
            <v>34.942465753424656</v>
          </cell>
          <cell r="C273" t="str">
            <v>Mtl</v>
          </cell>
          <cell r="D273" t="str">
            <v>Roman Hamrlik</v>
          </cell>
          <cell r="E273">
            <v>67</v>
          </cell>
          <cell r="F273">
            <v>4</v>
          </cell>
          <cell r="G273">
            <v>23</v>
          </cell>
        </row>
        <row r="274">
          <cell r="B274">
            <v>22.28219178082192</v>
          </cell>
          <cell r="C274" t="str">
            <v>Dal</v>
          </cell>
          <cell r="D274" t="str">
            <v>Matt Niskanen</v>
          </cell>
          <cell r="E274">
            <v>66</v>
          </cell>
          <cell r="F274">
            <v>5</v>
          </cell>
          <cell r="G274">
            <v>23</v>
          </cell>
        </row>
        <row r="275">
          <cell r="B275">
            <v>31.484931506849314</v>
          </cell>
          <cell r="C275" t="str">
            <v>Buf</v>
          </cell>
          <cell r="D275" t="str">
            <v>Toni Lydman</v>
          </cell>
          <cell r="E275">
            <v>66</v>
          </cell>
          <cell r="F275">
            <v>1</v>
          </cell>
          <cell r="G275">
            <v>15</v>
          </cell>
        </row>
        <row r="276">
          <cell r="B276">
            <v>32.04931506849315</v>
          </cell>
          <cell r="C276" t="str">
            <v>Dal</v>
          </cell>
          <cell r="D276" t="str">
            <v>Stephane Robidas</v>
          </cell>
          <cell r="E276">
            <v>65</v>
          </cell>
          <cell r="F276">
            <v>2</v>
          </cell>
          <cell r="G276">
            <v>21</v>
          </cell>
        </row>
        <row r="277">
          <cell r="B277">
            <v>32.69041095890411</v>
          </cell>
          <cell r="C277" t="str">
            <v>S.J.</v>
          </cell>
          <cell r="D277" t="str">
            <v>Dan Boyle</v>
          </cell>
          <cell r="E277">
            <v>61</v>
          </cell>
          <cell r="F277">
            <v>14</v>
          </cell>
          <cell r="G277">
            <v>33</v>
          </cell>
        </row>
        <row r="278">
          <cell r="B278">
            <v>33.6</v>
          </cell>
          <cell r="C278" t="str">
            <v>Dal</v>
          </cell>
          <cell r="D278" t="str">
            <v>Brendan Morrison</v>
          </cell>
          <cell r="E278">
            <v>67</v>
          </cell>
          <cell r="F278">
            <v>11</v>
          </cell>
          <cell r="G278">
            <v>12</v>
          </cell>
        </row>
        <row r="279">
          <cell r="B279">
            <v>35.556164383561644</v>
          </cell>
          <cell r="C279" t="str">
            <v>Ana</v>
          </cell>
          <cell r="D279" t="str">
            <v>Scott Niedermayer</v>
          </cell>
          <cell r="E279">
            <v>68</v>
          </cell>
          <cell r="F279">
            <v>11</v>
          </cell>
          <cell r="G279">
            <v>34</v>
          </cell>
        </row>
        <row r="280">
          <cell r="B280">
            <v>34.55068493150685</v>
          </cell>
          <cell r="C280" t="str">
            <v>Van</v>
          </cell>
          <cell r="D280" t="str">
            <v>Sami Salo</v>
          </cell>
          <cell r="E280">
            <v>44</v>
          </cell>
          <cell r="F280">
            <v>5</v>
          </cell>
          <cell r="G280">
            <v>13</v>
          </cell>
        </row>
        <row r="282">
          <cell r="B282">
            <v>24.33150684931507</v>
          </cell>
          <cell r="C282" t="str">
            <v>Fla</v>
          </cell>
          <cell r="D282" t="str">
            <v>Kamil Kreps</v>
          </cell>
        </row>
        <row r="284">
          <cell r="B284">
            <v>30.572602739726026</v>
          </cell>
          <cell r="C284" t="str">
            <v>Nyr</v>
          </cell>
          <cell r="D284" t="str">
            <v>Derek Morris</v>
          </cell>
        </row>
        <row r="285">
          <cell r="B285">
            <v>32.52876712328767</v>
          </cell>
          <cell r="C285" t="str">
            <v>Van</v>
          </cell>
          <cell r="D285" t="str">
            <v>Mattias Ohlund</v>
          </cell>
          <cell r="E285">
            <v>66</v>
          </cell>
          <cell r="F285">
            <v>4</v>
          </cell>
          <cell r="G285">
            <v>17</v>
          </cell>
        </row>
        <row r="289">
          <cell r="B289">
            <v>25.254794520547946</v>
          </cell>
          <cell r="C289" t="str">
            <v>Ana</v>
          </cell>
          <cell r="D289" t="str">
            <v>Erik Christensen</v>
          </cell>
        </row>
        <row r="290">
          <cell r="B290">
            <v>27.273972602739725</v>
          </cell>
          <cell r="C290" t="str">
            <v>Cgy</v>
          </cell>
          <cell r="D290" t="str">
            <v>Rene Bourque</v>
          </cell>
          <cell r="E290">
            <v>58</v>
          </cell>
          <cell r="F290">
            <v>21</v>
          </cell>
          <cell r="G290">
            <v>19</v>
          </cell>
        </row>
        <row r="291">
          <cell r="B291">
            <v>30.295890410958904</v>
          </cell>
          <cell r="C291" t="str">
            <v>L.A.</v>
          </cell>
          <cell r="D291" t="str">
            <v>Tom Preissing</v>
          </cell>
          <cell r="E291">
            <v>22</v>
          </cell>
          <cell r="F291">
            <v>3</v>
          </cell>
          <cell r="G291">
            <v>4</v>
          </cell>
        </row>
        <row r="292">
          <cell r="B292">
            <v>38.72054794520548</v>
          </cell>
          <cell r="C292" t="str">
            <v>Ana</v>
          </cell>
          <cell r="D292" t="str">
            <v>Teemu Selanne</v>
          </cell>
          <cell r="E292">
            <v>51</v>
          </cell>
          <cell r="F292">
            <v>21</v>
          </cell>
          <cell r="G292">
            <v>21</v>
          </cell>
        </row>
        <row r="293">
          <cell r="B293">
            <v>33.78630136986301</v>
          </cell>
          <cell r="C293" t="str">
            <v>Fla</v>
          </cell>
          <cell r="D293" t="str">
            <v>Bryan Mccabe</v>
          </cell>
          <cell r="E293">
            <v>56</v>
          </cell>
          <cell r="F293">
            <v>12</v>
          </cell>
          <cell r="G293">
            <v>21</v>
          </cell>
        </row>
        <row r="294">
          <cell r="B294">
            <v>29.36986301369863</v>
          </cell>
          <cell r="C294" t="str">
            <v>Det</v>
          </cell>
          <cell r="D294" t="str">
            <v>Brad Stuart</v>
          </cell>
        </row>
        <row r="300">
          <cell r="B300">
            <v>26.704109589041096</v>
          </cell>
          <cell r="C300" t="str">
            <v>S.J.</v>
          </cell>
          <cell r="D300" t="str">
            <v>Christian Ehrhoff</v>
          </cell>
          <cell r="E300">
            <v>64</v>
          </cell>
          <cell r="F300">
            <v>8</v>
          </cell>
          <cell r="G300">
            <v>26</v>
          </cell>
        </row>
        <row r="301">
          <cell r="B301">
            <v>29.926027397260274</v>
          </cell>
          <cell r="C301" t="str">
            <v>Stl</v>
          </cell>
          <cell r="D301" t="str">
            <v>Eric Brewer</v>
          </cell>
        </row>
        <row r="304">
          <cell r="B304">
            <v>35.367123287671234</v>
          </cell>
          <cell r="C304" t="str">
            <v>Car</v>
          </cell>
          <cell r="D304" t="str">
            <v>Frantisek Kaberle</v>
          </cell>
        </row>
        <row r="305">
          <cell r="B305">
            <v>24.96712328767123</v>
          </cell>
          <cell r="C305" t="str">
            <v>N.J.</v>
          </cell>
          <cell r="D305" t="str">
            <v>David Clarkson</v>
          </cell>
          <cell r="E305">
            <v>67</v>
          </cell>
          <cell r="F305">
            <v>15</v>
          </cell>
          <cell r="G305">
            <v>13</v>
          </cell>
        </row>
        <row r="306">
          <cell r="B306">
            <v>32.24109589041096</v>
          </cell>
          <cell r="C306" t="str">
            <v>Col</v>
          </cell>
          <cell r="D306" t="str">
            <v>Brett Clark</v>
          </cell>
          <cell r="E306">
            <v>68</v>
          </cell>
          <cell r="F306">
            <v>2</v>
          </cell>
          <cell r="G306">
            <v>10</v>
          </cell>
        </row>
        <row r="307">
          <cell r="B307">
            <v>25.843835616438355</v>
          </cell>
          <cell r="C307" t="str">
            <v>Van</v>
          </cell>
          <cell r="D307" t="str">
            <v>Kyle Wellwood</v>
          </cell>
        </row>
        <row r="311">
          <cell r="B311">
            <v>26.312328767123287</v>
          </cell>
          <cell r="C311" t="str">
            <v>Fla</v>
          </cell>
          <cell r="D311" t="str">
            <v>Keith Ballard</v>
          </cell>
          <cell r="E311">
            <v>67</v>
          </cell>
          <cell r="F311">
            <v>6</v>
          </cell>
          <cell r="G311">
            <v>24</v>
          </cell>
        </row>
        <row r="312">
          <cell r="B312">
            <v>24.78904109589041</v>
          </cell>
          <cell r="C312" t="str">
            <v>Tor</v>
          </cell>
          <cell r="D312" t="str">
            <v>Ian White</v>
          </cell>
          <cell r="E312">
            <v>58</v>
          </cell>
          <cell r="F312">
            <v>9</v>
          </cell>
          <cell r="G312">
            <v>14</v>
          </cell>
        </row>
        <row r="313">
          <cell r="B313">
            <v>28.791780821917808</v>
          </cell>
          <cell r="C313" t="str">
            <v>Ana</v>
          </cell>
          <cell r="D313" t="str">
            <v>Francois Beauchemin</v>
          </cell>
        </row>
        <row r="315">
          <cell r="B315">
            <v>32.02739726027397</v>
          </cell>
          <cell r="C315" t="str">
            <v>L.A.</v>
          </cell>
          <cell r="D315" t="str">
            <v>Michal Handzus</v>
          </cell>
          <cell r="E315">
            <v>66</v>
          </cell>
          <cell r="F315">
            <v>14</v>
          </cell>
          <cell r="G315">
            <v>19</v>
          </cell>
        </row>
        <row r="317">
          <cell r="B317">
            <v>23.594520547945205</v>
          </cell>
          <cell r="C317" t="str">
            <v>Nsh</v>
          </cell>
          <cell r="D317" t="str">
            <v>Shea Weber</v>
          </cell>
          <cell r="E317">
            <v>67</v>
          </cell>
          <cell r="F317">
            <v>18</v>
          </cell>
          <cell r="G317">
            <v>24</v>
          </cell>
        </row>
        <row r="318">
          <cell r="B318">
            <v>38.16712328767123</v>
          </cell>
          <cell r="C318" t="str">
            <v>Nyi</v>
          </cell>
          <cell r="D318" t="str">
            <v>Doug Weight</v>
          </cell>
          <cell r="E318">
            <v>44</v>
          </cell>
          <cell r="F318">
            <v>9</v>
          </cell>
          <cell r="G318">
            <v>26</v>
          </cell>
        </row>
        <row r="323">
          <cell r="B323">
            <v>22.90958904109589</v>
          </cell>
          <cell r="C323" t="str">
            <v>Van</v>
          </cell>
          <cell r="D323" t="str">
            <v>Alexander Edler</v>
          </cell>
          <cell r="E323">
            <v>64</v>
          </cell>
          <cell r="F323">
            <v>8</v>
          </cell>
          <cell r="G323">
            <v>22</v>
          </cell>
        </row>
        <row r="324">
          <cell r="B324">
            <v>25.66849315068493</v>
          </cell>
          <cell r="C324" t="str">
            <v>Cbj</v>
          </cell>
          <cell r="D324" t="str">
            <v>Fedor Tyutin</v>
          </cell>
          <cell r="E324">
            <v>68</v>
          </cell>
          <cell r="F324">
            <v>8</v>
          </cell>
          <cell r="G324">
            <v>23</v>
          </cell>
        </row>
        <row r="327">
          <cell r="B327">
            <v>28.432876712328767</v>
          </cell>
          <cell r="C327" t="str">
            <v>Min</v>
          </cell>
          <cell r="D327" t="str">
            <v>Marc-André Bergeron</v>
          </cell>
          <cell r="E327">
            <v>57</v>
          </cell>
          <cell r="F327">
            <v>10</v>
          </cell>
          <cell r="G327">
            <v>17</v>
          </cell>
        </row>
        <row r="328">
          <cell r="B328">
            <v>22.676712328767124</v>
          </cell>
          <cell r="C328" t="str">
            <v>Pit</v>
          </cell>
          <cell r="D328" t="str">
            <v>Tyler Kennedy</v>
          </cell>
          <cell r="E328">
            <v>54</v>
          </cell>
          <cell r="F328">
            <v>11</v>
          </cell>
          <cell r="G328">
            <v>14</v>
          </cell>
        </row>
        <row r="331">
          <cell r="B331">
            <v>29.054794520547944</v>
          </cell>
          <cell r="C331" t="str">
            <v>Phi</v>
          </cell>
          <cell r="D331" t="str">
            <v>Simon Gagne</v>
          </cell>
          <cell r="E331">
            <v>62</v>
          </cell>
          <cell r="F331">
            <v>26</v>
          </cell>
          <cell r="G331">
            <v>35</v>
          </cell>
        </row>
        <row r="332">
          <cell r="B332">
            <v>22.956164383561642</v>
          </cell>
          <cell r="C332" t="str">
            <v>Chi</v>
          </cell>
          <cell r="D332" t="str">
            <v>Cam Barker</v>
          </cell>
          <cell r="E332">
            <v>52</v>
          </cell>
          <cell r="F332">
            <v>4</v>
          </cell>
          <cell r="G332">
            <v>29</v>
          </cell>
        </row>
        <row r="333">
          <cell r="B333">
            <v>34.701369863013696</v>
          </cell>
          <cell r="C333" t="str">
            <v>Ott</v>
          </cell>
          <cell r="D333" t="str">
            <v>Chris Campoli</v>
          </cell>
          <cell r="E333">
            <v>61</v>
          </cell>
          <cell r="F333">
            <v>8</v>
          </cell>
          <cell r="G333">
            <v>16</v>
          </cell>
        </row>
        <row r="336">
          <cell r="B336">
            <v>22.21095890410959</v>
          </cell>
          <cell r="C336" t="str">
            <v>S.J.</v>
          </cell>
          <cell r="D336" t="str">
            <v>Devin Setoguchi</v>
          </cell>
          <cell r="E336">
            <v>65</v>
          </cell>
          <cell r="F336">
            <v>25</v>
          </cell>
          <cell r="G336">
            <v>28</v>
          </cell>
        </row>
        <row r="338">
          <cell r="B338">
            <v>26.756164383561643</v>
          </cell>
          <cell r="C338" t="str">
            <v>Nsh</v>
          </cell>
          <cell r="D338" t="str">
            <v>Ville Koistinen</v>
          </cell>
        </row>
        <row r="342">
          <cell r="B342">
            <v>21.9013698630137</v>
          </cell>
          <cell r="C342" t="str">
            <v>Pit</v>
          </cell>
          <cell r="D342" t="str">
            <v>Kristopher Letang</v>
          </cell>
          <cell r="E342">
            <v>61</v>
          </cell>
          <cell r="F342">
            <v>7</v>
          </cell>
          <cell r="G342">
            <v>17</v>
          </cell>
        </row>
        <row r="347">
          <cell r="B347">
            <v>31.03287671232877</v>
          </cell>
          <cell r="C347" t="str">
            <v>Ott</v>
          </cell>
          <cell r="D347" t="str">
            <v>Chris Phillips</v>
          </cell>
        </row>
        <row r="349">
          <cell r="B349">
            <v>21.34794520547945</v>
          </cell>
          <cell r="C349" t="str">
            <v>Atl</v>
          </cell>
          <cell r="D349" t="str">
            <v>Bryan Little</v>
          </cell>
          <cell r="E349">
            <v>65</v>
          </cell>
          <cell r="F349">
            <v>29</v>
          </cell>
          <cell r="G349">
            <v>18</v>
          </cell>
        </row>
        <row r="358">
          <cell r="B358">
            <v>32.24109589041096</v>
          </cell>
          <cell r="C358" t="str">
            <v>Det</v>
          </cell>
          <cell r="D358" t="str">
            <v>Mikael Samuelsson</v>
          </cell>
          <cell r="E358">
            <v>67</v>
          </cell>
          <cell r="F358">
            <v>17</v>
          </cell>
          <cell r="G358">
            <v>20</v>
          </cell>
        </row>
        <row r="361">
          <cell r="B361">
            <v>24.47945205479452</v>
          </cell>
          <cell r="C361" t="str">
            <v>Phi</v>
          </cell>
          <cell r="D361" t="str">
            <v>Matt Carle</v>
          </cell>
          <cell r="E361">
            <v>59</v>
          </cell>
          <cell r="F361">
            <v>5</v>
          </cell>
          <cell r="G361">
            <v>13</v>
          </cell>
        </row>
        <row r="366">
          <cell r="B366">
            <v>35.99452054794521</v>
          </cell>
          <cell r="C366" t="str">
            <v>Pit</v>
          </cell>
          <cell r="D366" t="str">
            <v>Philippe Boucher</v>
          </cell>
          <cell r="E366">
            <v>39</v>
          </cell>
          <cell r="F366">
            <v>2</v>
          </cell>
          <cell r="G366">
            <v>5</v>
          </cell>
        </row>
        <row r="367">
          <cell r="B367">
            <v>31.931506849315067</v>
          </cell>
          <cell r="C367" t="str">
            <v>Wsh</v>
          </cell>
          <cell r="D367" t="str">
            <v>Brian Pothier</v>
          </cell>
          <cell r="E367">
            <v>0</v>
          </cell>
        </row>
        <row r="373">
          <cell r="B373">
            <v>21.96986301369863</v>
          </cell>
          <cell r="C373" t="str">
            <v>S.J.</v>
          </cell>
          <cell r="D373" t="str">
            <v>Marc-Édouard Vlasic</v>
          </cell>
          <cell r="E373">
            <v>66</v>
          </cell>
          <cell r="F373">
            <v>5</v>
          </cell>
          <cell r="G373">
            <v>26</v>
          </cell>
        </row>
        <row r="375">
          <cell r="B375">
            <v>28.627397260273973</v>
          </cell>
          <cell r="C375" t="str">
            <v>Cgy</v>
          </cell>
          <cell r="D375" t="str">
            <v>Jordan Leopold</v>
          </cell>
          <cell r="E375">
            <v>69</v>
          </cell>
          <cell r="F375">
            <v>7</v>
          </cell>
          <cell r="G375">
            <v>14</v>
          </cell>
        </row>
        <row r="380">
          <cell r="B380">
            <v>34.45205479452055</v>
          </cell>
          <cell r="C380" t="str">
            <v>Cbj</v>
          </cell>
          <cell r="D380" t="str">
            <v>Fredrik Modin</v>
          </cell>
          <cell r="E380">
            <v>50</v>
          </cell>
          <cell r="F380">
            <v>9</v>
          </cell>
          <cell r="G380">
            <v>16</v>
          </cell>
        </row>
        <row r="382">
          <cell r="B382">
            <v>27.75890410958904</v>
          </cell>
          <cell r="C382" t="str">
            <v>Van</v>
          </cell>
          <cell r="D382" t="str">
            <v>Kevin Bieksa</v>
          </cell>
          <cell r="E382">
            <v>57</v>
          </cell>
          <cell r="F382">
            <v>11</v>
          </cell>
          <cell r="G382">
            <v>25</v>
          </cell>
        </row>
        <row r="390">
          <cell r="B390">
            <v>26.024657534246575</v>
          </cell>
          <cell r="C390" t="str">
            <v>T.B.</v>
          </cell>
          <cell r="D390" t="str">
            <v>Lukas Krajicek</v>
          </cell>
          <cell r="E390">
            <v>58</v>
          </cell>
          <cell r="F390">
            <v>1</v>
          </cell>
          <cell r="G390">
            <v>11</v>
          </cell>
        </row>
        <row r="393">
          <cell r="B393">
            <v>22.17808219178082</v>
          </cell>
          <cell r="C393" t="str">
            <v>L.A.</v>
          </cell>
          <cell r="D393" t="str">
            <v>Jack Johnson</v>
          </cell>
        </row>
        <row r="395">
          <cell r="B395">
            <v>22.005479452054793</v>
          </cell>
          <cell r="C395" t="str">
            <v>Ana</v>
          </cell>
          <cell r="D395" t="str">
            <v>Bobby Ryan</v>
          </cell>
          <cell r="E395">
            <v>50</v>
          </cell>
          <cell r="F395">
            <v>23</v>
          </cell>
          <cell r="G395">
            <v>20</v>
          </cell>
        </row>
        <row r="396">
          <cell r="B396">
            <v>32.68767123287671</v>
          </cell>
          <cell r="C396" t="str">
            <v>Edm</v>
          </cell>
          <cell r="D396" t="str">
            <v>Sheldon Souray</v>
          </cell>
          <cell r="E396">
            <v>65</v>
          </cell>
          <cell r="F396">
            <v>18</v>
          </cell>
          <cell r="G396">
            <v>24</v>
          </cell>
        </row>
        <row r="399">
          <cell r="B399">
            <v>26.386301369863013</v>
          </cell>
          <cell r="C399" t="str">
            <v>N.J.</v>
          </cell>
          <cell r="D399" t="str">
            <v>Andy Greene</v>
          </cell>
          <cell r="E399">
            <v>41</v>
          </cell>
          <cell r="F399">
            <v>1</v>
          </cell>
          <cell r="G399">
            <v>7</v>
          </cell>
        </row>
        <row r="400">
          <cell r="B400">
            <v>21.87945205479452</v>
          </cell>
          <cell r="C400" t="str">
            <v>Cbj</v>
          </cell>
          <cell r="D400" t="str">
            <v>Kris Russell</v>
          </cell>
        </row>
        <row r="401">
          <cell r="B401">
            <v>22.17808219178082</v>
          </cell>
          <cell r="C401" t="str">
            <v>Nyr</v>
          </cell>
          <cell r="D401" t="str">
            <v>Marc Stall</v>
          </cell>
          <cell r="E401">
            <v>68</v>
          </cell>
          <cell r="F401">
            <v>3</v>
          </cell>
          <cell r="G401">
            <v>10</v>
          </cell>
        </row>
        <row r="403">
          <cell r="B403">
            <v>25.13150684931507</v>
          </cell>
          <cell r="C403" t="str">
            <v>Tor</v>
          </cell>
          <cell r="D403" t="str">
            <v>Mikhail Grabovsky</v>
          </cell>
          <cell r="E403">
            <v>65</v>
          </cell>
          <cell r="F403">
            <v>14</v>
          </cell>
          <cell r="G403">
            <v>18</v>
          </cell>
        </row>
        <row r="407">
          <cell r="B407">
            <v>26.46849315068493</v>
          </cell>
          <cell r="C407" t="str">
            <v>S.J.</v>
          </cell>
          <cell r="D407" t="str">
            <v>Ryane Clowe</v>
          </cell>
          <cell r="E407">
            <v>66</v>
          </cell>
          <cell r="F407">
            <v>22</v>
          </cell>
          <cell r="G407">
            <v>30</v>
          </cell>
        </row>
        <row r="408">
          <cell r="B408">
            <v>25.035616438356165</v>
          </cell>
          <cell r="C408" t="str">
            <v>Stl</v>
          </cell>
          <cell r="D408" t="str">
            <v>Steve Wagner</v>
          </cell>
        </row>
        <row r="409">
          <cell r="B409">
            <v>22.778082191780822</v>
          </cell>
          <cell r="C409" t="str">
            <v>Buf</v>
          </cell>
          <cell r="D409" t="str">
            <v>Andrej Sekeras</v>
          </cell>
          <cell r="E409">
            <v>55</v>
          </cell>
          <cell r="F409">
            <v>3</v>
          </cell>
          <cell r="G409">
            <v>14</v>
          </cell>
        </row>
        <row r="415">
          <cell r="B415">
            <v>23.65205479452055</v>
          </cell>
          <cell r="C415" t="str">
            <v>Bos</v>
          </cell>
          <cell r="D415" t="str">
            <v>Patrice Bergeron</v>
          </cell>
          <cell r="E415">
            <v>53</v>
          </cell>
          <cell r="F415">
            <v>7</v>
          </cell>
          <cell r="G415">
            <v>25</v>
          </cell>
        </row>
        <row r="421">
          <cell r="B421">
            <v>23.528767123287672</v>
          </cell>
          <cell r="C421" t="str">
            <v>Wsh</v>
          </cell>
          <cell r="D421" t="str">
            <v>Eric Fehr</v>
          </cell>
          <cell r="E421">
            <v>47</v>
          </cell>
          <cell r="F421">
            <v>10</v>
          </cell>
          <cell r="G421">
            <v>11</v>
          </cell>
        </row>
        <row r="422">
          <cell r="B422">
            <v>23.44109589041096</v>
          </cell>
          <cell r="C422" t="str">
            <v>Ott</v>
          </cell>
          <cell r="D422" t="str">
            <v>Alex Picard</v>
          </cell>
          <cell r="E422">
            <v>47</v>
          </cell>
          <cell r="F422">
            <v>6</v>
          </cell>
          <cell r="G422">
            <v>8</v>
          </cell>
        </row>
        <row r="423">
          <cell r="B423">
            <v>20.92054794520548</v>
          </cell>
          <cell r="C423" t="str">
            <v>Nyi</v>
          </cell>
          <cell r="D423" t="str">
            <v>Kyle Okposo</v>
          </cell>
          <cell r="E423">
            <v>55</v>
          </cell>
          <cell r="F423">
            <v>16</v>
          </cell>
          <cell r="G423">
            <v>11</v>
          </cell>
        </row>
        <row r="424">
          <cell r="B424">
            <v>21.832876712328765</v>
          </cell>
          <cell r="C424" t="str">
            <v>Chi</v>
          </cell>
          <cell r="D424" t="str">
            <v>Jack Skille</v>
          </cell>
        </row>
        <row r="433">
          <cell r="B433">
            <v>23.526027397260275</v>
          </cell>
          <cell r="C433" t="str">
            <v>L.A.</v>
          </cell>
          <cell r="D433" t="str">
            <v>Ted Purcell</v>
          </cell>
          <cell r="E433">
            <v>25</v>
          </cell>
          <cell r="F433">
            <v>3</v>
          </cell>
          <cell r="G433">
            <v>10</v>
          </cell>
        </row>
        <row r="434">
          <cell r="B434">
            <v>22.46849315068493</v>
          </cell>
          <cell r="C434" t="str">
            <v>Min</v>
          </cell>
          <cell r="D434" t="str">
            <v>Benoit Pouliot</v>
          </cell>
        </row>
        <row r="439">
          <cell r="B439">
            <v>21.487671232876714</v>
          </cell>
          <cell r="C439" t="str">
            <v>Cbj</v>
          </cell>
          <cell r="D439" t="str">
            <v>Derick Brassard</v>
          </cell>
          <cell r="E439">
            <v>31</v>
          </cell>
          <cell r="F439">
            <v>10</v>
          </cell>
          <cell r="G439">
            <v>15</v>
          </cell>
        </row>
        <row r="440">
          <cell r="B440">
            <v>25.145205479452056</v>
          </cell>
          <cell r="C440" t="str">
            <v>Tor</v>
          </cell>
          <cell r="D440" t="str">
            <v>Jeremy Williams</v>
          </cell>
        </row>
        <row r="441">
          <cell r="B441">
            <v>29.852054794520548</v>
          </cell>
          <cell r="C441" t="str">
            <v>Tor</v>
          </cell>
          <cell r="D441" t="str">
            <v>Mike Van Ryn</v>
          </cell>
          <cell r="E441">
            <v>27</v>
          </cell>
          <cell r="F441">
            <v>3</v>
          </cell>
          <cell r="G441">
            <v>8</v>
          </cell>
        </row>
        <row r="444">
          <cell r="B444">
            <v>19.59178082191781</v>
          </cell>
          <cell r="C444" t="str">
            <v>Phx</v>
          </cell>
          <cell r="D444" t="str">
            <v>Kyle Turris</v>
          </cell>
          <cell r="E444">
            <v>52</v>
          </cell>
          <cell r="F444">
            <v>6</v>
          </cell>
          <cell r="G444">
            <v>10</v>
          </cell>
        </row>
        <row r="447">
          <cell r="B447">
            <v>20.07123287671233</v>
          </cell>
          <cell r="C447" t="str">
            <v>Atl</v>
          </cell>
          <cell r="D447" t="str">
            <v>Angelo Esposito</v>
          </cell>
          <cell r="E447">
            <v>0</v>
          </cell>
        </row>
        <row r="448">
          <cell r="B448">
            <v>25.46027397260274</v>
          </cell>
          <cell r="C448" t="str">
            <v>Cgy</v>
          </cell>
          <cell r="D448" t="str">
            <v>Mark Giordano</v>
          </cell>
        </row>
        <row r="451">
          <cell r="B451">
            <v>34.70958904109589</v>
          </cell>
          <cell r="C451" t="str">
            <v>Nsh</v>
          </cell>
          <cell r="D451" t="str">
            <v>Steve Sullivan</v>
          </cell>
          <cell r="E451">
            <v>27</v>
          </cell>
          <cell r="F451">
            <v>7</v>
          </cell>
          <cell r="G451">
            <v>11</v>
          </cell>
        </row>
        <row r="453">
          <cell r="B453">
            <v>22.4027397260274</v>
          </cell>
          <cell r="C453" t="str">
            <v>Mtl</v>
          </cell>
          <cell r="D453" t="str">
            <v>Matt D'Agostini</v>
          </cell>
          <cell r="E453">
            <v>45</v>
          </cell>
          <cell r="F453">
            <v>10</v>
          </cell>
          <cell r="G453">
            <v>8</v>
          </cell>
        </row>
        <row r="455">
          <cell r="B455">
            <v>22.715068493150685</v>
          </cell>
          <cell r="C455" t="str">
            <v>Edm</v>
          </cell>
          <cell r="D455" t="str">
            <v>Rob Schremp</v>
          </cell>
          <cell r="E455">
            <v>4</v>
          </cell>
          <cell r="F455">
            <v>0</v>
          </cell>
          <cell r="G455">
            <v>3</v>
          </cell>
        </row>
        <row r="475">
          <cell r="B475">
            <v>18.673972602739727</v>
          </cell>
          <cell r="C475" t="str">
            <v>Atl</v>
          </cell>
          <cell r="D475" t="str">
            <v>Zach Bogosian</v>
          </cell>
          <cell r="E475">
            <v>33</v>
          </cell>
          <cell r="F475">
            <v>5</v>
          </cell>
          <cell r="G475">
            <v>5</v>
          </cell>
        </row>
        <row r="491">
          <cell r="B491">
            <v>18.813698630136987</v>
          </cell>
          <cell r="C491" t="str">
            <v>Cbj</v>
          </cell>
          <cell r="D491" t="str">
            <v>Nikita Filatov</v>
          </cell>
          <cell r="E491">
            <v>8</v>
          </cell>
          <cell r="F491">
            <v>4</v>
          </cell>
        </row>
        <row r="492">
          <cell r="B492">
            <v>19.589041095890412</v>
          </cell>
          <cell r="C492" t="str">
            <v>Cbj</v>
          </cell>
          <cell r="D492" t="str">
            <v>Jakub Voracek</v>
          </cell>
          <cell r="E492">
            <v>66</v>
          </cell>
          <cell r="F492">
            <v>9</v>
          </cell>
          <cell r="G492">
            <v>23</v>
          </cell>
        </row>
        <row r="496">
          <cell r="B496">
            <v>23.586301369863012</v>
          </cell>
          <cell r="C496" t="str">
            <v>Chi</v>
          </cell>
          <cell r="D496" t="str">
            <v>Troy Brouwer</v>
          </cell>
          <cell r="E496">
            <v>56</v>
          </cell>
          <cell r="F496">
            <v>10</v>
          </cell>
          <cell r="G496">
            <v>14</v>
          </cell>
        </row>
        <row r="502">
          <cell r="B502">
            <v>24.112328767123287</v>
          </cell>
          <cell r="C502" t="str">
            <v>Dal</v>
          </cell>
          <cell r="D502" t="str">
            <v>Fabian Brunnstrom</v>
          </cell>
          <cell r="E502">
            <v>45</v>
          </cell>
          <cell r="F502">
            <v>13</v>
          </cell>
          <cell r="G502">
            <v>10</v>
          </cell>
        </row>
        <row r="507">
          <cell r="B507">
            <v>25.775342465753425</v>
          </cell>
          <cell r="C507" t="str">
            <v>Det</v>
          </cell>
          <cell r="D507" t="str">
            <v>Ville Leino</v>
          </cell>
          <cell r="E507">
            <v>13</v>
          </cell>
          <cell r="F507">
            <v>5</v>
          </cell>
          <cell r="G507">
            <v>4</v>
          </cell>
        </row>
        <row r="527">
          <cell r="B527">
            <v>21.08219178082192</v>
          </cell>
          <cell r="C527" t="str">
            <v>Fla</v>
          </cell>
          <cell r="D527" t="str">
            <v>Michael Frolik</v>
          </cell>
          <cell r="E527">
            <v>64</v>
          </cell>
          <cell r="F527">
            <v>17</v>
          </cell>
          <cell r="G527">
            <v>17</v>
          </cell>
        </row>
        <row r="528">
          <cell r="B528">
            <v>21.076712328767123</v>
          </cell>
          <cell r="C528" t="str">
            <v>Fla</v>
          </cell>
          <cell r="D528" t="str">
            <v>Shawn Mathias</v>
          </cell>
          <cell r="E528">
            <v>17</v>
          </cell>
          <cell r="G528">
            <v>2</v>
          </cell>
        </row>
        <row r="534">
          <cell r="B534">
            <v>19.273972602739725</v>
          </cell>
          <cell r="C534" t="str">
            <v>L.A.</v>
          </cell>
          <cell r="D534" t="str">
            <v>Drew Doughty</v>
          </cell>
          <cell r="E534">
            <v>65</v>
          </cell>
          <cell r="F534">
            <v>4</v>
          </cell>
          <cell r="G534">
            <v>17</v>
          </cell>
        </row>
        <row r="536">
          <cell r="B536">
            <v>20.55890410958904</v>
          </cell>
          <cell r="C536" t="str">
            <v>L.A.</v>
          </cell>
          <cell r="D536" t="str">
            <v>Wayne Simmonds</v>
          </cell>
        </row>
        <row r="550">
          <cell r="B550">
            <v>22.21095890410959</v>
          </cell>
          <cell r="C550" t="str">
            <v>Nsh</v>
          </cell>
          <cell r="D550" t="str">
            <v>Patric Hornqvist</v>
          </cell>
          <cell r="E550">
            <v>20</v>
          </cell>
          <cell r="F550">
            <v>2</v>
          </cell>
          <cell r="G550">
            <v>5</v>
          </cell>
        </row>
        <row r="554">
          <cell r="B554">
            <v>19.457534246575342</v>
          </cell>
          <cell r="C554" t="str">
            <v>Nyi</v>
          </cell>
          <cell r="D554" t="str">
            <v>Josh Bailey</v>
          </cell>
          <cell r="E554">
            <v>54</v>
          </cell>
          <cell r="F554">
            <v>3</v>
          </cell>
          <cell r="G554">
            <v>17</v>
          </cell>
        </row>
        <row r="566">
          <cell r="B566">
            <v>21.980821917808218</v>
          </cell>
          <cell r="C566" t="str">
            <v>Ott</v>
          </cell>
          <cell r="D566" t="str">
            <v>Brian Lee</v>
          </cell>
          <cell r="E566">
            <v>39</v>
          </cell>
          <cell r="F566">
            <v>2</v>
          </cell>
          <cell r="G566">
            <v>9</v>
          </cell>
        </row>
        <row r="568">
          <cell r="B568">
            <v>25.383561643835616</v>
          </cell>
          <cell r="C568" t="str">
            <v>Fla</v>
          </cell>
          <cell r="D568" t="str">
            <v>Steve Eminger</v>
          </cell>
          <cell r="E568">
            <v>65</v>
          </cell>
          <cell r="F568">
            <v>4</v>
          </cell>
          <cell r="G568">
            <v>21</v>
          </cell>
        </row>
        <row r="572">
          <cell r="B572">
            <v>27.753424657534246</v>
          </cell>
          <cell r="C572" t="str">
            <v>Car</v>
          </cell>
          <cell r="D572" t="str">
            <v>Dennis Seidenberg</v>
          </cell>
          <cell r="E572">
            <v>58</v>
          </cell>
          <cell r="F572">
            <v>4</v>
          </cell>
          <cell r="G572">
            <v>19</v>
          </cell>
        </row>
        <row r="573">
          <cell r="B573">
            <v>21.18082191780822</v>
          </cell>
          <cell r="C573" t="str">
            <v>Phi</v>
          </cell>
          <cell r="D573" t="str">
            <v>Claude Giroux</v>
          </cell>
          <cell r="E573">
            <v>25</v>
          </cell>
          <cell r="F573">
            <v>5</v>
          </cell>
          <cell r="G573">
            <v>8</v>
          </cell>
        </row>
        <row r="574">
          <cell r="B574">
            <v>22.052054794520547</v>
          </cell>
          <cell r="C574" t="str">
            <v>Phi</v>
          </cell>
          <cell r="D574" t="str">
            <v>Andreas Nodl</v>
          </cell>
        </row>
        <row r="576">
          <cell r="B576">
            <v>19.252054794520546</v>
          </cell>
          <cell r="C576" t="str">
            <v>Phx</v>
          </cell>
          <cell r="D576" t="str">
            <v>Mikkel Boedker</v>
          </cell>
          <cell r="E576">
            <v>67</v>
          </cell>
          <cell r="F576">
            <v>10</v>
          </cell>
          <cell r="G576">
            <v>15</v>
          </cell>
        </row>
        <row r="622">
          <cell r="B622">
            <v>22.235616438356164</v>
          </cell>
          <cell r="C622" t="str">
            <v>Stl</v>
          </cell>
          <cell r="D622" t="str">
            <v>T.J. Oshie</v>
          </cell>
          <cell r="E622">
            <v>42</v>
          </cell>
          <cell r="F622">
            <v>9</v>
          </cell>
          <cell r="G622">
            <v>16</v>
          </cell>
        </row>
        <row r="623">
          <cell r="B623">
            <v>19.161643835616438</v>
          </cell>
          <cell r="C623" t="str">
            <v>Stl</v>
          </cell>
          <cell r="D623" t="str">
            <v>Alex Pietrangelo</v>
          </cell>
          <cell r="E623">
            <v>8</v>
          </cell>
          <cell r="G623">
            <v>1</v>
          </cell>
        </row>
        <row r="625">
          <cell r="B625">
            <v>19.106849315068494</v>
          </cell>
          <cell r="C625" t="str">
            <v>T.B.</v>
          </cell>
          <cell r="D625" t="str">
            <v>Steven Stamkos</v>
          </cell>
          <cell r="E625">
            <v>65</v>
          </cell>
          <cell r="F625">
            <v>14</v>
          </cell>
          <cell r="G625">
            <v>19</v>
          </cell>
        </row>
        <row r="628">
          <cell r="B628">
            <v>19.372602739726027</v>
          </cell>
          <cell r="C628" t="str">
            <v>Tor</v>
          </cell>
          <cell r="D628" t="str">
            <v>Luke Schenn</v>
          </cell>
          <cell r="E628">
            <v>57</v>
          </cell>
          <cell r="F628">
            <v>1</v>
          </cell>
          <cell r="G628">
            <v>6</v>
          </cell>
        </row>
        <row r="629">
          <cell r="B629">
            <v>22.67945205479452</v>
          </cell>
          <cell r="C629" t="str">
            <v>Tor</v>
          </cell>
          <cell r="D629" t="str">
            <v>Nikolai Kulemin</v>
          </cell>
          <cell r="E629">
            <v>62</v>
          </cell>
          <cell r="F629">
            <v>10</v>
          </cell>
          <cell r="G629">
            <v>12</v>
          </cell>
        </row>
        <row r="766">
          <cell r="B766">
            <v>20.323287671232876</v>
          </cell>
          <cell r="C766" t="str">
            <v>Mtl</v>
          </cell>
          <cell r="D766" t="str">
            <v>Max Pacioretty</v>
          </cell>
          <cell r="E766">
            <v>29</v>
          </cell>
          <cell r="F766">
            <v>3</v>
          </cell>
          <cell r="G766">
            <v>8</v>
          </cell>
        </row>
        <row r="768">
          <cell r="B768">
            <v>23.635616438356163</v>
          </cell>
          <cell r="C768" t="str">
            <v>Pit</v>
          </cell>
          <cell r="D768" t="str">
            <v>Alex Goligoski</v>
          </cell>
          <cell r="E768">
            <v>45</v>
          </cell>
          <cell r="F768">
            <v>6</v>
          </cell>
          <cell r="G768">
            <v>14</v>
          </cell>
        </row>
        <row r="769">
          <cell r="B769">
            <v>20.002739726027396</v>
          </cell>
          <cell r="C769" t="str">
            <v>Cgy</v>
          </cell>
          <cell r="D769" t="str">
            <v>Mikael Backlund</v>
          </cell>
          <cell r="E769">
            <v>1</v>
          </cell>
        </row>
        <row r="770">
          <cell r="B770">
            <v>24.24931506849315</v>
          </cell>
          <cell r="C770" t="str">
            <v>L.A.</v>
          </cell>
          <cell r="D770" t="str">
            <v>Brian Boyle</v>
          </cell>
        </row>
        <row r="771">
          <cell r="B771">
            <v>20.791780821917808</v>
          </cell>
          <cell r="C771" t="str">
            <v>Stl</v>
          </cell>
          <cell r="D771" t="str">
            <v>Patrik Berglund</v>
          </cell>
          <cell r="E771">
            <v>61</v>
          </cell>
          <cell r="F771">
            <v>17</v>
          </cell>
          <cell r="G771">
            <v>22</v>
          </cell>
        </row>
        <row r="772">
          <cell r="B772">
            <v>24.887671232876713</v>
          </cell>
          <cell r="C772" t="str">
            <v>Nyr</v>
          </cell>
          <cell r="D772" t="str">
            <v>Dan Girardi</v>
          </cell>
          <cell r="E772">
            <v>68</v>
          </cell>
          <cell r="F772">
            <v>3</v>
          </cell>
          <cell r="G772">
            <v>13</v>
          </cell>
        </row>
        <row r="773">
          <cell r="B773">
            <v>25.78082191780822</v>
          </cell>
          <cell r="C773" t="str">
            <v>L.A.</v>
          </cell>
          <cell r="D773" t="str">
            <v>Peter Harrold</v>
          </cell>
        </row>
        <row r="774">
          <cell r="B774">
            <v>22.523287671232875</v>
          </cell>
          <cell r="C774" t="str">
            <v>Phx</v>
          </cell>
          <cell r="D774" t="str">
            <v>Keith Yandle</v>
          </cell>
          <cell r="E774">
            <v>56</v>
          </cell>
          <cell r="F774">
            <v>4</v>
          </cell>
          <cell r="G774">
            <v>22</v>
          </cell>
        </row>
        <row r="775">
          <cell r="B775">
            <v>24.315068493150687</v>
          </cell>
          <cell r="C775" t="str">
            <v>Fla</v>
          </cell>
          <cell r="D775" t="str">
            <v>David Booth</v>
          </cell>
          <cell r="E775">
            <v>57</v>
          </cell>
          <cell r="F775">
            <v>24</v>
          </cell>
          <cell r="G775">
            <v>20</v>
          </cell>
        </row>
        <row r="776">
          <cell r="B776">
            <v>24.41917808219178</v>
          </cell>
          <cell r="C776" t="str">
            <v>Wsh</v>
          </cell>
          <cell r="D776" t="str">
            <v>Sami Lepisto</v>
          </cell>
          <cell r="E776">
            <v>7</v>
          </cell>
          <cell r="F776">
            <v>0</v>
          </cell>
          <cell r="G776">
            <v>4</v>
          </cell>
        </row>
        <row r="778">
          <cell r="B778">
            <v>23.92876712328767</v>
          </cell>
          <cell r="C778" t="str">
            <v>Ana</v>
          </cell>
          <cell r="D778" t="str">
            <v>Brian Salcido</v>
          </cell>
          <cell r="E778">
            <v>2</v>
          </cell>
          <cell r="G778">
            <v>1</v>
          </cell>
        </row>
        <row r="780">
          <cell r="B780">
            <v>20.84931506849315</v>
          </cell>
          <cell r="C780" t="str">
            <v>Phx</v>
          </cell>
          <cell r="D780" t="str">
            <v>Viktor Tikhonov</v>
          </cell>
          <cell r="E780">
            <v>50</v>
          </cell>
          <cell r="F780">
            <v>7</v>
          </cell>
          <cell r="G780">
            <v>6</v>
          </cell>
        </row>
        <row r="781">
          <cell r="B781">
            <v>20.895890410958906</v>
          </cell>
          <cell r="C781" t="str">
            <v>Min</v>
          </cell>
          <cell r="D781" t="str">
            <v>James Sheppard</v>
          </cell>
          <cell r="E781">
            <v>67</v>
          </cell>
          <cell r="F781">
            <v>4</v>
          </cell>
          <cell r="G781">
            <v>12</v>
          </cell>
        </row>
        <row r="782">
          <cell r="B782">
            <v>23.5013698630137</v>
          </cell>
          <cell r="C782" t="str">
            <v>Van</v>
          </cell>
          <cell r="D782" t="str">
            <v>Mason Raymond</v>
          </cell>
          <cell r="E782">
            <v>59</v>
          </cell>
          <cell r="F782">
            <v>9</v>
          </cell>
          <cell r="G782">
            <v>11</v>
          </cell>
        </row>
        <row r="783">
          <cell r="B783">
            <v>20.47945205479452</v>
          </cell>
          <cell r="C783" t="str">
            <v>Wsh</v>
          </cell>
          <cell r="D783" t="str">
            <v>Karl Alzner</v>
          </cell>
          <cell r="E783">
            <v>30</v>
          </cell>
          <cell r="F783">
            <v>1</v>
          </cell>
          <cell r="G783">
            <v>4</v>
          </cell>
        </row>
        <row r="784">
          <cell r="B784">
            <v>22.786301369863015</v>
          </cell>
          <cell r="C784" t="str">
            <v>Chi</v>
          </cell>
          <cell r="D784" t="str">
            <v>David Bolland</v>
          </cell>
          <cell r="E784">
            <v>65</v>
          </cell>
          <cell r="F784">
            <v>15</v>
          </cell>
          <cell r="G784">
            <v>24</v>
          </cell>
        </row>
        <row r="785">
          <cell r="B785">
            <v>22.63013698630137</v>
          </cell>
          <cell r="C785" t="str">
            <v>Tor</v>
          </cell>
          <cell r="D785" t="str">
            <v>Anton Stralman</v>
          </cell>
        </row>
        <row r="787">
          <cell r="B787">
            <v>22.54794520547945</v>
          </cell>
          <cell r="C787" t="str">
            <v>Bos</v>
          </cell>
          <cell r="D787" t="str">
            <v>Blake Wheeler</v>
          </cell>
          <cell r="E787">
            <v>68</v>
          </cell>
          <cell r="F787">
            <v>17</v>
          </cell>
          <cell r="G787">
            <v>21</v>
          </cell>
        </row>
        <row r="788">
          <cell r="B788">
            <v>20.15068493150685</v>
          </cell>
          <cell r="C788" t="str">
            <v>L.A.</v>
          </cell>
          <cell r="D788" t="str">
            <v>Oscar Moller</v>
          </cell>
          <cell r="E788">
            <v>35</v>
          </cell>
          <cell r="F788">
            <v>7</v>
          </cell>
          <cell r="G788">
            <v>7</v>
          </cell>
        </row>
        <row r="789">
          <cell r="B789">
            <v>25.457534246575342</v>
          </cell>
          <cell r="C789" t="str">
            <v>Ott</v>
          </cell>
          <cell r="D789" t="str">
            <v>Jesse Winchester</v>
          </cell>
        </row>
        <row r="790">
          <cell r="B790">
            <v>24.5972602739726</v>
          </cell>
          <cell r="C790" t="str">
            <v>Atl</v>
          </cell>
          <cell r="D790" t="str">
            <v>Anssi Salmela</v>
          </cell>
          <cell r="E790">
            <v>17</v>
          </cell>
          <cell r="F790">
            <v>0</v>
          </cell>
          <cell r="G790">
            <v>3</v>
          </cell>
        </row>
        <row r="791">
          <cell r="B791">
            <v>22.84931506849315</v>
          </cell>
          <cell r="C791" t="str">
            <v>Chi</v>
          </cell>
          <cell r="D791" t="str">
            <v>Kris Versteeg</v>
          </cell>
          <cell r="E791">
            <v>62</v>
          </cell>
          <cell r="F791">
            <v>18</v>
          </cell>
          <cell r="G791">
            <v>28</v>
          </cell>
        </row>
        <row r="792">
          <cell r="B792">
            <v>22.64109589041096</v>
          </cell>
          <cell r="C792" t="str">
            <v>Nyr</v>
          </cell>
          <cell r="D792" t="str">
            <v>Lauri Korpikoski</v>
          </cell>
          <cell r="E792">
            <v>54</v>
          </cell>
          <cell r="F792">
            <v>6</v>
          </cell>
          <cell r="G792">
            <v>8</v>
          </cell>
        </row>
        <row r="793">
          <cell r="B793">
            <v>27.715068493150685</v>
          </cell>
          <cell r="C793" t="str">
            <v>Nyr</v>
          </cell>
          <cell r="D793" t="str">
            <v>Aaron Voros</v>
          </cell>
          <cell r="E793">
            <v>53</v>
          </cell>
          <cell r="F793">
            <v>8</v>
          </cell>
          <cell r="G793">
            <v>7</v>
          </cell>
        </row>
        <row r="794">
          <cell r="B794">
            <v>23.019178082191782</v>
          </cell>
          <cell r="C794" t="str">
            <v>Phx</v>
          </cell>
          <cell r="D794" t="str">
            <v>Kevin Porter</v>
          </cell>
          <cell r="E794">
            <v>34</v>
          </cell>
          <cell r="F794">
            <v>5</v>
          </cell>
          <cell r="G794">
            <v>5</v>
          </cell>
        </row>
        <row r="795">
          <cell r="B795">
            <v>21.53972602739726</v>
          </cell>
          <cell r="C795" t="str">
            <v>Dal</v>
          </cell>
          <cell r="D795" t="str">
            <v>James Neal</v>
          </cell>
          <cell r="E795">
            <v>63</v>
          </cell>
          <cell r="F795">
            <v>22</v>
          </cell>
          <cell r="G795">
            <v>11</v>
          </cell>
        </row>
        <row r="796">
          <cell r="B796">
            <v>23.6</v>
          </cell>
          <cell r="C796" t="str">
            <v>L.A.</v>
          </cell>
          <cell r="D796" t="str">
            <v>Kyle Quincey</v>
          </cell>
          <cell r="E796">
            <v>63</v>
          </cell>
          <cell r="F796">
            <v>4</v>
          </cell>
          <cell r="G796">
            <v>34</v>
          </cell>
        </row>
        <row r="797">
          <cell r="B797">
            <v>23.01095890410959</v>
          </cell>
          <cell r="C797" t="str">
            <v>Van</v>
          </cell>
          <cell r="D797" t="str">
            <v>Jannik Hansen</v>
          </cell>
          <cell r="E797">
            <v>52</v>
          </cell>
          <cell r="F797">
            <v>6</v>
          </cell>
          <cell r="G797">
            <v>15</v>
          </cell>
        </row>
        <row r="798">
          <cell r="B798">
            <v>19.12876712328767</v>
          </cell>
          <cell r="C798" t="str">
            <v>Phi</v>
          </cell>
          <cell r="D798" t="str">
            <v>Luca Sbisa</v>
          </cell>
          <cell r="E798">
            <v>39</v>
          </cell>
          <cell r="F798">
            <v>0</v>
          </cell>
          <cell r="G798">
            <v>7</v>
          </cell>
        </row>
        <row r="799">
          <cell r="B799">
            <v>24.153424657534245</v>
          </cell>
          <cell r="C799" t="str">
            <v>Tor</v>
          </cell>
          <cell r="D799" t="str">
            <v>John Mitchell</v>
          </cell>
        </row>
        <row r="800">
          <cell r="B800">
            <v>24.75890410958904</v>
          </cell>
          <cell r="C800" t="str">
            <v>Nsh</v>
          </cell>
          <cell r="D800" t="str">
            <v>Ryan Jones</v>
          </cell>
          <cell r="E800">
            <v>39</v>
          </cell>
          <cell r="F800">
            <v>6</v>
          </cell>
          <cell r="G800">
            <v>9</v>
          </cell>
        </row>
        <row r="801">
          <cell r="B801">
            <v>26.224657534246575</v>
          </cell>
          <cell r="C801" t="str">
            <v>Cgy</v>
          </cell>
          <cell r="D801" t="str">
            <v>Curtis Glencross</v>
          </cell>
          <cell r="E801">
            <v>62</v>
          </cell>
          <cell r="F801">
            <v>11</v>
          </cell>
          <cell r="G801">
            <v>25</v>
          </cell>
        </row>
        <row r="802">
          <cell r="B802">
            <v>22.90684931506849</v>
          </cell>
          <cell r="C802" t="str">
            <v>Phx</v>
          </cell>
          <cell r="D802" t="str">
            <v>Enver Lisin</v>
          </cell>
          <cell r="E802">
            <v>45</v>
          </cell>
          <cell r="F802">
            <v>10</v>
          </cell>
          <cell r="G802">
            <v>7</v>
          </cell>
        </row>
        <row r="803">
          <cell r="B803">
            <v>23.827397260273973</v>
          </cell>
          <cell r="C803" t="str">
            <v>Bos</v>
          </cell>
          <cell r="D803" t="str">
            <v>Matt Hunwick</v>
          </cell>
          <cell r="E803">
            <v>42</v>
          </cell>
          <cell r="F803">
            <v>5</v>
          </cell>
          <cell r="G803">
            <v>14</v>
          </cell>
        </row>
        <row r="804">
          <cell r="B804">
            <v>19.76164383561644</v>
          </cell>
          <cell r="C804" t="str">
            <v>Mtl</v>
          </cell>
          <cell r="D804" t="str">
            <v>Ryan Mcdonagh</v>
          </cell>
        </row>
        <row r="805">
          <cell r="B805">
            <v>20.482191780821918</v>
          </cell>
          <cell r="C805" t="str">
            <v>Mtl</v>
          </cell>
          <cell r="D805" t="str">
            <v>Yannick Weber</v>
          </cell>
        </row>
        <row r="806">
          <cell r="B806">
            <v>19.95068493150685</v>
          </cell>
          <cell r="C806" t="str">
            <v>Phi</v>
          </cell>
          <cell r="D806" t="str">
            <v>James VanRiemsdyk</v>
          </cell>
        </row>
        <row r="807">
          <cell r="B807">
            <v>26.21095890410959</v>
          </cell>
          <cell r="C807" t="str">
            <v>Ana</v>
          </cell>
          <cell r="D807" t="str">
            <v>Andrew Ebbett</v>
          </cell>
          <cell r="E807">
            <v>34</v>
          </cell>
          <cell r="F807">
            <v>4</v>
          </cell>
          <cell r="G807">
            <v>18</v>
          </cell>
        </row>
      </sheetData>
      <sheetData sheetId="1">
        <row r="5">
          <cell r="B5">
            <v>33.657534246575345</v>
          </cell>
          <cell r="C5" t="str">
            <v>S.J.</v>
          </cell>
          <cell r="D5" t="str">
            <v>Evgeni Nabokov</v>
          </cell>
          <cell r="E5">
            <v>47</v>
          </cell>
          <cell r="F5">
            <v>32</v>
          </cell>
          <cell r="G5">
            <v>7</v>
          </cell>
          <cell r="H5">
            <v>5</v>
          </cell>
          <cell r="I5">
            <v>0</v>
          </cell>
          <cell r="J5">
            <v>0</v>
          </cell>
        </row>
        <row r="6">
          <cell r="B6">
            <v>27.04931506849315</v>
          </cell>
          <cell r="C6" t="str">
            <v>Nyr</v>
          </cell>
          <cell r="D6" t="str">
            <v>Henrik Lundqvist</v>
          </cell>
          <cell r="E6">
            <v>57</v>
          </cell>
          <cell r="F6">
            <v>30</v>
          </cell>
          <cell r="G6">
            <v>7</v>
          </cell>
          <cell r="H6">
            <v>2</v>
          </cell>
          <cell r="I6">
            <v>0</v>
          </cell>
          <cell r="J6">
            <v>2</v>
          </cell>
        </row>
        <row r="7">
          <cell r="B7">
            <v>36.87671232876713</v>
          </cell>
          <cell r="C7" t="str">
            <v>N.J.</v>
          </cell>
          <cell r="D7" t="str">
            <v>Martin Brodeur</v>
          </cell>
          <cell r="E7">
            <v>17</v>
          </cell>
          <cell r="F7">
            <v>12</v>
          </cell>
          <cell r="G7">
            <v>2</v>
          </cell>
          <cell r="H7">
            <v>4</v>
          </cell>
          <cell r="I7">
            <v>0</v>
          </cell>
          <cell r="J7">
            <v>0</v>
          </cell>
        </row>
        <row r="8">
          <cell r="B8">
            <v>29.96164383561644</v>
          </cell>
          <cell r="C8" t="str">
            <v>Van</v>
          </cell>
          <cell r="D8" t="str">
            <v>Roberto Luongo</v>
          </cell>
          <cell r="E8">
            <v>39</v>
          </cell>
          <cell r="F8">
            <v>23</v>
          </cell>
          <cell r="G8">
            <v>6</v>
          </cell>
          <cell r="H8">
            <v>5</v>
          </cell>
          <cell r="I8">
            <v>0</v>
          </cell>
          <cell r="J8">
            <v>1</v>
          </cell>
        </row>
        <row r="9">
          <cell r="B9">
            <v>32.4</v>
          </cell>
          <cell r="C9" t="str">
            <v>Cgy</v>
          </cell>
          <cell r="D9" t="str">
            <v>Miikaa Kiprusoff</v>
          </cell>
          <cell r="E9">
            <v>63</v>
          </cell>
          <cell r="F9">
            <v>40</v>
          </cell>
          <cell r="G9">
            <v>5</v>
          </cell>
          <cell r="H9">
            <v>4</v>
          </cell>
          <cell r="I9">
            <v>0</v>
          </cell>
          <cell r="J9">
            <v>2</v>
          </cell>
        </row>
        <row r="10">
          <cell r="B10">
            <v>25.052054794520547</v>
          </cell>
          <cell r="C10" t="str">
            <v>Car</v>
          </cell>
          <cell r="D10" t="str">
            <v>Cam Ward</v>
          </cell>
          <cell r="E10">
            <v>57</v>
          </cell>
          <cell r="F10">
            <v>30</v>
          </cell>
          <cell r="G10">
            <v>4</v>
          </cell>
          <cell r="H10">
            <v>5</v>
          </cell>
          <cell r="J10">
            <v>1</v>
          </cell>
        </row>
        <row r="11">
          <cell r="B11">
            <v>28.673972602739727</v>
          </cell>
          <cell r="C11" t="str">
            <v>Buf</v>
          </cell>
          <cell r="D11" t="str">
            <v>Ryan Miller</v>
          </cell>
          <cell r="E11">
            <v>51</v>
          </cell>
          <cell r="F11">
            <v>29</v>
          </cell>
          <cell r="G11">
            <v>5</v>
          </cell>
          <cell r="H11">
            <v>5</v>
          </cell>
        </row>
        <row r="12">
          <cell r="B12">
            <v>26.364383561643837</v>
          </cell>
          <cell r="C12" t="str">
            <v>Ott</v>
          </cell>
          <cell r="D12" t="str">
            <v>Pascal Leclaire</v>
          </cell>
          <cell r="E12">
            <v>12</v>
          </cell>
          <cell r="F12">
            <v>4</v>
          </cell>
          <cell r="G12">
            <v>1</v>
          </cell>
          <cell r="J12">
            <v>1</v>
          </cell>
        </row>
        <row r="13">
          <cell r="B13">
            <v>31.846575342465755</v>
          </cell>
          <cell r="C13" t="str">
            <v>Ana</v>
          </cell>
          <cell r="D13" t="str">
            <v>Jean-Sebastien Giguere</v>
          </cell>
          <cell r="E13">
            <v>42</v>
          </cell>
          <cell r="F13">
            <v>17</v>
          </cell>
          <cell r="G13">
            <v>5</v>
          </cell>
          <cell r="H13">
            <v>2</v>
          </cell>
          <cell r="I13">
            <v>0</v>
          </cell>
          <cell r="J13">
            <v>0</v>
          </cell>
        </row>
        <row r="14">
          <cell r="B14">
            <v>31.0986301369863</v>
          </cell>
          <cell r="C14" t="str">
            <v>Min</v>
          </cell>
          <cell r="D14" t="str">
            <v>Niklas Backstrom</v>
          </cell>
          <cell r="E14">
            <v>57</v>
          </cell>
          <cell r="F14">
            <v>31</v>
          </cell>
          <cell r="G14">
            <v>5</v>
          </cell>
          <cell r="H14">
            <v>6</v>
          </cell>
        </row>
        <row r="15">
          <cell r="B15">
            <v>31.5972602739726</v>
          </cell>
          <cell r="C15" t="str">
            <v>Phi</v>
          </cell>
          <cell r="D15" t="str">
            <v>Martin Biron</v>
          </cell>
          <cell r="E15">
            <v>42</v>
          </cell>
          <cell r="F15">
            <v>21</v>
          </cell>
          <cell r="G15">
            <v>5</v>
          </cell>
          <cell r="H15">
            <v>2</v>
          </cell>
          <cell r="J15">
            <v>3</v>
          </cell>
        </row>
        <row r="16">
          <cell r="B16">
            <v>32.71780821917808</v>
          </cell>
          <cell r="C16" t="str">
            <v>Fla</v>
          </cell>
          <cell r="D16" t="str">
            <v>Tomas Vokoun</v>
          </cell>
          <cell r="E16">
            <v>49</v>
          </cell>
          <cell r="F16">
            <v>21</v>
          </cell>
          <cell r="G16">
            <v>4</v>
          </cell>
          <cell r="H16">
            <v>6</v>
          </cell>
          <cell r="J16">
            <v>1</v>
          </cell>
        </row>
        <row r="17">
          <cell r="B17">
            <v>31.835616438356166</v>
          </cell>
          <cell r="C17" t="str">
            <v>Tor</v>
          </cell>
          <cell r="D17" t="str">
            <v>Vesa Toskala</v>
          </cell>
          <cell r="E17">
            <v>53</v>
          </cell>
          <cell r="F17">
            <v>22</v>
          </cell>
          <cell r="G17">
            <v>11</v>
          </cell>
          <cell r="H17">
            <v>1</v>
          </cell>
          <cell r="I17">
            <v>0</v>
          </cell>
          <cell r="J17">
            <v>0</v>
          </cell>
        </row>
        <row r="18">
          <cell r="B18">
            <v>33.54794520547945</v>
          </cell>
          <cell r="C18" t="str">
            <v>Chi</v>
          </cell>
          <cell r="D18" t="str">
            <v>Cristobal Huet</v>
          </cell>
          <cell r="E18">
            <v>37</v>
          </cell>
          <cell r="F18">
            <v>19</v>
          </cell>
          <cell r="G18">
            <v>3</v>
          </cell>
          <cell r="H18">
            <v>3</v>
          </cell>
        </row>
        <row r="19">
          <cell r="B19">
            <v>33.605479452054794</v>
          </cell>
          <cell r="C19" t="str">
            <v>Dal</v>
          </cell>
          <cell r="D19" t="str">
            <v>Marty Turco</v>
          </cell>
          <cell r="E19">
            <v>64</v>
          </cell>
          <cell r="F19">
            <v>31</v>
          </cell>
          <cell r="G19">
            <v>8</v>
          </cell>
          <cell r="H19">
            <v>2</v>
          </cell>
          <cell r="J19">
            <v>5</v>
          </cell>
        </row>
        <row r="20">
          <cell r="B20">
            <v>36.12602739726027</v>
          </cell>
          <cell r="C20" t="str">
            <v>Stl</v>
          </cell>
          <cell r="D20" t="str">
            <v>Manny Legace</v>
          </cell>
          <cell r="E20">
            <v>29</v>
          </cell>
          <cell r="F20">
            <v>13</v>
          </cell>
          <cell r="G20">
            <v>2</v>
          </cell>
        </row>
        <row r="22">
          <cell r="B22">
            <v>36.31780821917808</v>
          </cell>
          <cell r="C22" t="str">
            <v>Det</v>
          </cell>
          <cell r="D22" t="str">
            <v>Chris Osgood</v>
          </cell>
          <cell r="E22">
            <v>35</v>
          </cell>
          <cell r="F22">
            <v>20</v>
          </cell>
          <cell r="G22">
            <v>7</v>
          </cell>
          <cell r="H22">
            <v>1</v>
          </cell>
          <cell r="I22">
            <v>0</v>
          </cell>
          <cell r="J22">
            <v>2</v>
          </cell>
        </row>
        <row r="23">
          <cell r="B23">
            <v>27.4986301369863</v>
          </cell>
          <cell r="C23" t="str">
            <v>Nyi</v>
          </cell>
          <cell r="D23" t="str">
            <v>Rick Dipietro</v>
          </cell>
          <cell r="E23">
            <v>5</v>
          </cell>
          <cell r="F23">
            <v>1</v>
          </cell>
          <cell r="J23">
            <v>2</v>
          </cell>
        </row>
        <row r="24">
          <cell r="B24">
            <v>34.93424657534246</v>
          </cell>
          <cell r="C24" t="str">
            <v>Bos</v>
          </cell>
          <cell r="D24" t="str">
            <v>Tim Thomas</v>
          </cell>
          <cell r="E24">
            <v>45</v>
          </cell>
          <cell r="F24">
            <v>29</v>
          </cell>
          <cell r="G24">
            <v>6</v>
          </cell>
          <cell r="H24">
            <v>4</v>
          </cell>
          <cell r="I24">
            <v>0</v>
          </cell>
          <cell r="J24">
            <v>1</v>
          </cell>
        </row>
        <row r="25">
          <cell r="B25">
            <v>23.328767123287673</v>
          </cell>
          <cell r="C25" t="str">
            <v>Tor</v>
          </cell>
          <cell r="D25" t="str">
            <v>Martin Gerber</v>
          </cell>
          <cell r="E25">
            <v>17</v>
          </cell>
          <cell r="F25">
            <v>6</v>
          </cell>
          <cell r="G25">
            <v>1</v>
          </cell>
          <cell r="H25">
            <v>1</v>
          </cell>
          <cell r="I25">
            <v>0</v>
          </cell>
          <cell r="J25">
            <v>1</v>
          </cell>
        </row>
        <row r="26">
          <cell r="B26">
            <v>28.742465753424657</v>
          </cell>
          <cell r="C26" t="str">
            <v>Phx</v>
          </cell>
          <cell r="D26" t="str">
            <v>Ilja Bryzgalov</v>
          </cell>
          <cell r="E26">
            <v>56</v>
          </cell>
          <cell r="F26">
            <v>21</v>
          </cell>
          <cell r="G26">
            <v>5</v>
          </cell>
          <cell r="H26">
            <v>3</v>
          </cell>
          <cell r="J26">
            <v>2</v>
          </cell>
        </row>
        <row r="27">
          <cell r="B27">
            <v>28.75068493150685</v>
          </cell>
          <cell r="C27" t="str">
            <v>Nsh</v>
          </cell>
          <cell r="D27" t="str">
            <v>Dan Ellis</v>
          </cell>
          <cell r="E27">
            <v>35</v>
          </cell>
          <cell r="F27">
            <v>11</v>
          </cell>
          <cell r="G27">
            <v>4</v>
          </cell>
          <cell r="H27">
            <v>3</v>
          </cell>
        </row>
        <row r="28">
          <cell r="B28">
            <v>32.51780821917808</v>
          </cell>
          <cell r="C28" t="str">
            <v>Wsh</v>
          </cell>
          <cell r="D28" t="str">
            <v>Jose Theodore</v>
          </cell>
          <cell r="E28">
            <v>47</v>
          </cell>
          <cell r="F28">
            <v>26</v>
          </cell>
          <cell r="G28">
            <v>4</v>
          </cell>
          <cell r="H28">
            <v>1</v>
          </cell>
          <cell r="J28">
            <v>3</v>
          </cell>
        </row>
        <row r="29">
          <cell r="B29">
            <v>31.194520547945206</v>
          </cell>
          <cell r="C29" t="str">
            <v>Pit</v>
          </cell>
          <cell r="D29" t="str">
            <v>Mathieu Garon</v>
          </cell>
          <cell r="E29">
            <v>17</v>
          </cell>
          <cell r="F29">
            <v>6</v>
          </cell>
        </row>
        <row r="30">
          <cell r="B30">
            <v>21.589041095890412</v>
          </cell>
          <cell r="C30" t="str">
            <v>Mtl</v>
          </cell>
          <cell r="D30" t="str">
            <v>Carey Price</v>
          </cell>
          <cell r="E30">
            <v>43</v>
          </cell>
          <cell r="F30">
            <v>20</v>
          </cell>
          <cell r="G30">
            <v>7</v>
          </cell>
          <cell r="H30">
            <v>1</v>
          </cell>
          <cell r="J30">
            <v>1</v>
          </cell>
        </row>
        <row r="31">
          <cell r="B31">
            <v>36.18630136986302</v>
          </cell>
          <cell r="C31" t="str">
            <v>Chi</v>
          </cell>
          <cell r="D31" t="str">
            <v>Nikolai Khabibulin</v>
          </cell>
          <cell r="E31">
            <v>29</v>
          </cell>
          <cell r="F31">
            <v>17</v>
          </cell>
          <cell r="G31">
            <v>5</v>
          </cell>
          <cell r="H31">
            <v>1</v>
          </cell>
          <cell r="J31">
            <v>2</v>
          </cell>
        </row>
        <row r="32">
          <cell r="B32">
            <v>38.961643835616435</v>
          </cell>
          <cell r="C32" t="str">
            <v>T.B.</v>
          </cell>
          <cell r="D32" t="str">
            <v>Olaf Kolzig</v>
          </cell>
        </row>
        <row r="33">
          <cell r="B33">
            <v>32.917808219178085</v>
          </cell>
          <cell r="C33" t="str">
            <v>Stl</v>
          </cell>
          <cell r="D33" t="str">
            <v>Chris Mason</v>
          </cell>
          <cell r="E33">
            <v>42</v>
          </cell>
          <cell r="F33">
            <v>17</v>
          </cell>
          <cell r="G33">
            <v>5</v>
          </cell>
          <cell r="H33">
            <v>4</v>
          </cell>
          <cell r="I33">
            <v>0</v>
          </cell>
          <cell r="J33">
            <v>1</v>
          </cell>
        </row>
        <row r="35">
          <cell r="B35">
            <v>25.339726027397262</v>
          </cell>
          <cell r="C35" t="str">
            <v>Atl</v>
          </cell>
          <cell r="D35" t="str">
            <v>Kari Lehtonen</v>
          </cell>
          <cell r="E35">
            <v>40</v>
          </cell>
          <cell r="F35">
            <v>16</v>
          </cell>
          <cell r="G35">
            <v>3</v>
          </cell>
          <cell r="H35">
            <v>3</v>
          </cell>
          <cell r="I35">
            <v>0</v>
          </cell>
          <cell r="J35">
            <v>1</v>
          </cell>
        </row>
        <row r="36">
          <cell r="B36">
            <v>24.304109589041097</v>
          </cell>
          <cell r="C36" t="str">
            <v>Pit</v>
          </cell>
          <cell r="D36" t="str">
            <v>Marc-André Fleury</v>
          </cell>
          <cell r="E36">
            <v>51</v>
          </cell>
          <cell r="F36">
            <v>28</v>
          </cell>
          <cell r="G36">
            <v>5</v>
          </cell>
          <cell r="H36">
            <v>3</v>
          </cell>
          <cell r="I36">
            <v>0</v>
          </cell>
          <cell r="J36">
            <v>0</v>
          </cell>
        </row>
        <row r="37">
          <cell r="B37">
            <v>32.97534246575343</v>
          </cell>
          <cell r="C37" t="str">
            <v>Det</v>
          </cell>
          <cell r="D37" t="str">
            <v>Ty Conklin</v>
          </cell>
          <cell r="E37">
            <v>36</v>
          </cell>
          <cell r="F37">
            <v>24</v>
          </cell>
          <cell r="G37">
            <v>2</v>
          </cell>
          <cell r="H37">
            <v>6</v>
          </cell>
        </row>
        <row r="38">
          <cell r="B38">
            <v>26.994520547945207</v>
          </cell>
          <cell r="C38" t="str">
            <v>T.B.</v>
          </cell>
          <cell r="D38" t="str">
            <v>Mike Smith</v>
          </cell>
          <cell r="E38">
            <v>41</v>
          </cell>
          <cell r="F38">
            <v>14</v>
          </cell>
          <cell r="G38">
            <v>9</v>
          </cell>
          <cell r="H38">
            <v>2</v>
          </cell>
          <cell r="I38">
            <v>0</v>
          </cell>
          <cell r="J38">
            <v>1</v>
          </cell>
        </row>
        <row r="39">
          <cell r="B39">
            <v>29.16986301369863</v>
          </cell>
          <cell r="C39" t="str">
            <v>Van</v>
          </cell>
          <cell r="D39" t="str">
            <v>Jason Labarbera</v>
          </cell>
          <cell r="E39">
            <v>26</v>
          </cell>
          <cell r="F39">
            <v>7</v>
          </cell>
          <cell r="G39">
            <v>6</v>
          </cell>
          <cell r="H39">
            <v>2</v>
          </cell>
          <cell r="I39">
            <v>0</v>
          </cell>
          <cell r="J39">
            <v>0</v>
          </cell>
        </row>
        <row r="41">
          <cell r="B41">
            <v>39.443835616438356</v>
          </cell>
          <cell r="C41" t="str">
            <v>Edm</v>
          </cell>
          <cell r="D41" t="str">
            <v>Dwayne Roloson</v>
          </cell>
          <cell r="E41">
            <v>50</v>
          </cell>
          <cell r="F41">
            <v>23</v>
          </cell>
          <cell r="G41">
            <v>8</v>
          </cell>
          <cell r="H41">
            <v>1</v>
          </cell>
          <cell r="I41">
            <v>0</v>
          </cell>
          <cell r="J41">
            <v>0</v>
          </cell>
        </row>
        <row r="43">
          <cell r="B43">
            <v>26.5013698630137</v>
          </cell>
          <cell r="C43" t="str">
            <v>Col</v>
          </cell>
          <cell r="D43" t="str">
            <v>Peter Budaj</v>
          </cell>
          <cell r="E43">
            <v>47</v>
          </cell>
          <cell r="F43">
            <v>17</v>
          </cell>
          <cell r="G43">
            <v>2</v>
          </cell>
          <cell r="H43">
            <v>1</v>
          </cell>
          <cell r="I43">
            <v>0</v>
          </cell>
          <cell r="J43">
            <v>1</v>
          </cell>
        </row>
        <row r="45">
          <cell r="B45">
            <v>28.545205479452054</v>
          </cell>
          <cell r="C45" t="str">
            <v>Edm</v>
          </cell>
          <cell r="D45" t="str">
            <v>Dany Sabourin</v>
          </cell>
        </row>
        <row r="46">
          <cell r="B46">
            <v>24.75068493150685</v>
          </cell>
          <cell r="C46" t="str">
            <v>Min</v>
          </cell>
          <cell r="D46" t="str">
            <v>Josh Harding</v>
          </cell>
          <cell r="E46">
            <v>16</v>
          </cell>
          <cell r="F46">
            <v>2</v>
          </cell>
          <cell r="G46">
            <v>1</v>
          </cell>
        </row>
        <row r="48">
          <cell r="B48">
            <v>28.197260273972603</v>
          </cell>
          <cell r="C48" t="str">
            <v>Ott</v>
          </cell>
          <cell r="D48" t="str">
            <v>Alexander Auld</v>
          </cell>
          <cell r="E48">
            <v>35</v>
          </cell>
          <cell r="F48">
            <v>12</v>
          </cell>
          <cell r="G48">
            <v>6</v>
          </cell>
          <cell r="H48">
            <v>1</v>
          </cell>
          <cell r="I48">
            <v>0</v>
          </cell>
          <cell r="J48">
            <v>0</v>
          </cell>
        </row>
        <row r="49">
          <cell r="B49">
            <v>27.0986301369863</v>
          </cell>
          <cell r="C49" t="str">
            <v>Ana</v>
          </cell>
          <cell r="D49" t="str">
            <v>Jonas Hiller</v>
          </cell>
          <cell r="E49">
            <v>34</v>
          </cell>
          <cell r="F49">
            <v>15</v>
          </cell>
          <cell r="G49">
            <v>1</v>
          </cell>
          <cell r="H49">
            <v>4</v>
          </cell>
        </row>
        <row r="50">
          <cell r="B50">
            <v>29.457534246575342</v>
          </cell>
          <cell r="C50" t="str">
            <v>Van</v>
          </cell>
          <cell r="D50" t="str">
            <v>Curtis Sanford</v>
          </cell>
        </row>
        <row r="51">
          <cell r="B51">
            <v>23.194520547945206</v>
          </cell>
          <cell r="C51" t="str">
            <v>T.B.</v>
          </cell>
          <cell r="D51" t="str">
            <v>Kami Ramo</v>
          </cell>
        </row>
        <row r="53">
          <cell r="B53">
            <v>34.706849315068496</v>
          </cell>
          <cell r="C53" t="str">
            <v>Buf</v>
          </cell>
          <cell r="D53" t="str">
            <v>Patrick Lalime </v>
          </cell>
          <cell r="E53">
            <v>21</v>
          </cell>
          <cell r="F53">
            <v>5</v>
          </cell>
          <cell r="G53">
            <v>2</v>
          </cell>
          <cell r="H53">
            <v>0</v>
          </cell>
          <cell r="I53">
            <v>0</v>
          </cell>
          <cell r="J53">
            <v>0</v>
          </cell>
        </row>
        <row r="56">
          <cell r="B56">
            <v>23.84931506849315</v>
          </cell>
          <cell r="C56" t="str">
            <v>Mtl</v>
          </cell>
          <cell r="D56" t="str">
            <v>Jaroslav Halak</v>
          </cell>
          <cell r="E56">
            <v>28</v>
          </cell>
          <cell r="F56">
            <v>16</v>
          </cell>
          <cell r="G56">
            <v>1</v>
          </cell>
          <cell r="H56">
            <v>1</v>
          </cell>
        </row>
        <row r="57">
          <cell r="B57">
            <v>34.56712328767123</v>
          </cell>
          <cell r="C57" t="str">
            <v>Bos</v>
          </cell>
          <cell r="D57" t="str">
            <v>Emmanuel Fernandez</v>
          </cell>
          <cell r="E57">
            <v>24</v>
          </cell>
          <cell r="F57">
            <v>14</v>
          </cell>
          <cell r="G57">
            <v>3</v>
          </cell>
          <cell r="H57">
            <v>1</v>
          </cell>
        </row>
        <row r="59">
          <cell r="B59">
            <v>21.54794520547945</v>
          </cell>
          <cell r="C59" t="str">
            <v>Atl</v>
          </cell>
          <cell r="D59" t="str">
            <v>Ondrej Pavelec</v>
          </cell>
          <cell r="E59">
            <v>11</v>
          </cell>
          <cell r="F59">
            <v>3</v>
          </cell>
        </row>
        <row r="62">
          <cell r="B62">
            <v>20.610958904109587</v>
          </cell>
          <cell r="C62" t="str">
            <v>L.A.</v>
          </cell>
          <cell r="D62" t="str">
            <v>Jonathan Bernier</v>
          </cell>
        </row>
        <row r="68">
          <cell r="B68">
            <v>22.024657534246575</v>
          </cell>
          <cell r="C68" t="str">
            <v>Bos</v>
          </cell>
          <cell r="D68" t="str">
            <v>Tuukka Rask</v>
          </cell>
          <cell r="E68">
            <v>1</v>
          </cell>
          <cell r="F68">
            <v>1</v>
          </cell>
          <cell r="G68">
            <v>0</v>
          </cell>
          <cell r="H68">
            <v>1</v>
          </cell>
          <cell r="I68">
            <v>0</v>
          </cell>
          <cell r="J68">
            <v>0</v>
          </cell>
        </row>
        <row r="69">
          <cell r="B69">
            <v>35.30958904109589</v>
          </cell>
          <cell r="C69" t="str">
            <v>Cbj</v>
          </cell>
          <cell r="D69" t="str">
            <v>Frederik Norrena</v>
          </cell>
        </row>
        <row r="70">
          <cell r="B70">
            <v>25.824657534246576</v>
          </cell>
          <cell r="C70" t="str">
            <v>Cgy</v>
          </cell>
          <cell r="D70" t="str">
            <v>Curtis McElhinney</v>
          </cell>
        </row>
        <row r="72">
          <cell r="B72">
            <v>25.15890410958904</v>
          </cell>
          <cell r="C72" t="str">
            <v>Dal</v>
          </cell>
          <cell r="D72" t="str">
            <v>Tobia Stephan</v>
          </cell>
          <cell r="E72">
            <v>9</v>
          </cell>
          <cell r="F72">
            <v>1</v>
          </cell>
          <cell r="J72">
            <v>1</v>
          </cell>
        </row>
        <row r="75">
          <cell r="B75">
            <v>27.83013698630137</v>
          </cell>
          <cell r="C75" t="str">
            <v>Fla</v>
          </cell>
          <cell r="D75" t="str">
            <v>Craig Anderson</v>
          </cell>
          <cell r="E75">
            <v>27</v>
          </cell>
          <cell r="F75">
            <v>12</v>
          </cell>
          <cell r="G75">
            <v>5</v>
          </cell>
          <cell r="H75">
            <v>3</v>
          </cell>
          <cell r="I75">
            <v>0</v>
          </cell>
          <cell r="J75">
            <v>1</v>
          </cell>
        </row>
        <row r="76">
          <cell r="B76">
            <v>26.627397260273973</v>
          </cell>
          <cell r="C76" t="str">
            <v>L.A.</v>
          </cell>
          <cell r="D76" t="str">
            <v>Erik Ersberg</v>
          </cell>
          <cell r="E76">
            <v>25</v>
          </cell>
          <cell r="F76">
            <v>8</v>
          </cell>
          <cell r="G76">
            <v>4</v>
          </cell>
          <cell r="H76">
            <v>0</v>
          </cell>
          <cell r="I76">
            <v>0</v>
          </cell>
          <cell r="J76">
            <v>0</v>
          </cell>
        </row>
        <row r="78">
          <cell r="B78">
            <v>33.964383561643835</v>
          </cell>
          <cell r="C78" t="str">
            <v>N.J.</v>
          </cell>
          <cell r="D78" t="str">
            <v>Kevin Weekes</v>
          </cell>
        </row>
        <row r="80">
          <cell r="B80">
            <v>26.375342465753423</v>
          </cell>
          <cell r="C80" t="str">
            <v>Nsh</v>
          </cell>
          <cell r="D80" t="str">
            <v>Pekka Rinne</v>
          </cell>
          <cell r="E80">
            <v>38</v>
          </cell>
          <cell r="F80">
            <v>22</v>
          </cell>
          <cell r="G80">
            <v>1</v>
          </cell>
          <cell r="H80">
            <v>6</v>
          </cell>
          <cell r="J80">
            <v>1</v>
          </cell>
        </row>
        <row r="95">
          <cell r="B95">
            <v>23.002739726027396</v>
          </cell>
          <cell r="C95" t="str">
            <v>Van</v>
          </cell>
          <cell r="D95" t="str">
            <v>Cory Schneider</v>
          </cell>
          <cell r="E95">
            <v>8</v>
          </cell>
          <cell r="F95">
            <v>2</v>
          </cell>
          <cell r="G95">
            <v>1</v>
          </cell>
        </row>
        <row r="96">
          <cell r="B96">
            <v>32.02465753424657</v>
          </cell>
          <cell r="C96" t="str">
            <v>Wsh</v>
          </cell>
          <cell r="D96" t="str">
            <v>Brent Johnson</v>
          </cell>
          <cell r="E96">
            <v>21</v>
          </cell>
          <cell r="F96">
            <v>12</v>
          </cell>
          <cell r="G96">
            <v>2</v>
          </cell>
          <cell r="H96">
            <v>0</v>
          </cell>
          <cell r="I96">
            <v>0</v>
          </cell>
          <cell r="J96">
            <v>1</v>
          </cell>
        </row>
        <row r="99">
          <cell r="B99">
            <v>32.21369863013699</v>
          </cell>
          <cell r="C99" t="str">
            <v>S.J.</v>
          </cell>
          <cell r="D99" t="str">
            <v>Brian Boucher</v>
          </cell>
          <cell r="E99">
            <v>20</v>
          </cell>
          <cell r="F99">
            <v>11</v>
          </cell>
          <cell r="G99">
            <v>3</v>
          </cell>
          <cell r="H99">
            <v>2</v>
          </cell>
          <cell r="I99">
            <v>0</v>
          </cell>
          <cell r="J99">
            <v>0</v>
          </cell>
        </row>
        <row r="124">
          <cell r="B124">
            <v>20.802739726027397</v>
          </cell>
          <cell r="C124" t="str">
            <v>Cbj</v>
          </cell>
          <cell r="D124" t="str">
            <v>Steve Mason</v>
          </cell>
          <cell r="E124">
            <v>48</v>
          </cell>
          <cell r="F124">
            <v>28</v>
          </cell>
          <cell r="G124">
            <v>3</v>
          </cell>
          <cell r="H124">
            <v>9</v>
          </cell>
        </row>
        <row r="125">
          <cell r="B125">
            <v>24.843835616438355</v>
          </cell>
          <cell r="C125" t="str">
            <v>Edm</v>
          </cell>
          <cell r="D125" t="str">
            <v>Jeff Deslauriers</v>
          </cell>
          <cell r="E125">
            <v>8</v>
          </cell>
          <cell r="F125">
            <v>3</v>
          </cell>
          <cell r="J125">
            <v>1</v>
          </cell>
        </row>
        <row r="126">
          <cell r="B126">
            <v>24.213698630136985</v>
          </cell>
          <cell r="C126" t="str">
            <v>Chi</v>
          </cell>
          <cell r="D126" t="str">
            <v>Corey Crawfort</v>
          </cell>
        </row>
        <row r="127">
          <cell r="B127">
            <v>25.556164383561644</v>
          </cell>
          <cell r="C127" t="str">
            <v>Chi</v>
          </cell>
          <cell r="D127" t="str">
            <v>Antti Niemi</v>
          </cell>
          <cell r="E127">
            <v>3</v>
          </cell>
          <cell r="F127">
            <v>1</v>
          </cell>
          <cell r="G127">
            <v>1</v>
          </cell>
        </row>
        <row r="128">
          <cell r="B128">
            <v>31.660273972602738</v>
          </cell>
          <cell r="C128" t="str">
            <v>N.J.</v>
          </cell>
          <cell r="D128" t="str">
            <v>Scott Clemmensen</v>
          </cell>
          <cell r="E128">
            <v>40</v>
          </cell>
          <cell r="F128">
            <v>25</v>
          </cell>
          <cell r="G128">
            <v>1</v>
          </cell>
          <cell r="H128">
            <v>2</v>
          </cell>
          <cell r="I128">
            <v>0</v>
          </cell>
          <cell r="J128">
            <v>0</v>
          </cell>
        </row>
        <row r="129">
          <cell r="B129">
            <v>20.89041095890411</v>
          </cell>
          <cell r="C129" t="str">
            <v>Wsh</v>
          </cell>
          <cell r="D129" t="str">
            <v>Simeon Varlamov</v>
          </cell>
          <cell r="E129">
            <v>2</v>
          </cell>
          <cell r="F129">
            <v>2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</row>
        <row r="130">
          <cell r="B130">
            <v>23.156164383561645</v>
          </cell>
          <cell r="C130" t="str">
            <v>L.A.</v>
          </cell>
          <cell r="D130" t="str">
            <v>Joanthan Quick</v>
          </cell>
          <cell r="E130">
            <v>31</v>
          </cell>
          <cell r="F130">
            <v>16</v>
          </cell>
          <cell r="G130">
            <v>1</v>
          </cell>
          <cell r="H130">
            <v>3</v>
          </cell>
          <cell r="I130">
            <v>0</v>
          </cell>
          <cell r="J130">
            <v>1</v>
          </cell>
        </row>
        <row r="131">
          <cell r="B131">
            <v>23.942465753424656</v>
          </cell>
          <cell r="C131" t="str">
            <v>Ott</v>
          </cell>
          <cell r="D131" t="str">
            <v>Brian Elliott</v>
          </cell>
          <cell r="E131">
            <v>22</v>
          </cell>
          <cell r="F131">
            <v>11</v>
          </cell>
          <cell r="G131">
            <v>3</v>
          </cell>
          <cell r="H131">
            <v>0</v>
          </cell>
          <cell r="I131">
            <v>0</v>
          </cell>
          <cell r="J131">
            <v>0</v>
          </cell>
        </row>
      </sheetData>
      <sheetData sheetId="2">
        <row r="6">
          <cell r="B6" t="str">
            <v>Red Wings de Detroit</v>
          </cell>
          <cell r="C6">
            <v>68</v>
          </cell>
          <cell r="D6">
            <v>97</v>
          </cell>
          <cell r="E6">
            <v>252</v>
          </cell>
          <cell r="F6">
            <v>205</v>
          </cell>
        </row>
        <row r="7">
          <cell r="B7" t="str">
            <v>Canadiens de Montréal</v>
          </cell>
          <cell r="C7">
            <v>68</v>
          </cell>
          <cell r="D7">
            <v>80</v>
          </cell>
          <cell r="E7">
            <v>204</v>
          </cell>
          <cell r="F7">
            <v>203</v>
          </cell>
        </row>
        <row r="8">
          <cell r="B8" t="str">
            <v>Sharks de San jose</v>
          </cell>
          <cell r="C8">
            <v>66</v>
          </cell>
          <cell r="D8">
            <v>96</v>
          </cell>
          <cell r="E8">
            <v>216</v>
          </cell>
          <cell r="F8">
            <v>167</v>
          </cell>
        </row>
        <row r="9">
          <cell r="B9" t="str">
            <v>Penguins de Pittburgh</v>
          </cell>
          <cell r="C9">
            <v>69</v>
          </cell>
          <cell r="D9">
            <v>79</v>
          </cell>
          <cell r="E9">
            <v>213</v>
          </cell>
          <cell r="F9">
            <v>208</v>
          </cell>
        </row>
        <row r="10">
          <cell r="B10" t="str">
            <v>Stars de Dallas</v>
          </cell>
          <cell r="C10">
            <v>68</v>
          </cell>
          <cell r="D10">
            <v>72</v>
          </cell>
          <cell r="E10">
            <v>196</v>
          </cell>
          <cell r="F10">
            <v>209</v>
          </cell>
        </row>
        <row r="11">
          <cell r="B11" t="str">
            <v>Mighty Ducks d'Anaheim</v>
          </cell>
          <cell r="C11">
            <v>68</v>
          </cell>
          <cell r="D11">
            <v>70</v>
          </cell>
          <cell r="E11">
            <v>190</v>
          </cell>
          <cell r="F11">
            <v>200</v>
          </cell>
        </row>
        <row r="12">
          <cell r="B12" t="str">
            <v>Rangers de New York</v>
          </cell>
          <cell r="C12">
            <v>68</v>
          </cell>
          <cell r="D12">
            <v>78</v>
          </cell>
          <cell r="E12">
            <v>171</v>
          </cell>
          <cell r="F12">
            <v>185</v>
          </cell>
        </row>
        <row r="13">
          <cell r="B13" t="str">
            <v>Flyers De Philadelphie</v>
          </cell>
          <cell r="C13">
            <v>66</v>
          </cell>
          <cell r="D13">
            <v>82</v>
          </cell>
          <cell r="E13">
            <v>213</v>
          </cell>
          <cell r="F13">
            <v>190</v>
          </cell>
        </row>
        <row r="14">
          <cell r="B14" t="str">
            <v>Devils du New Jersey</v>
          </cell>
          <cell r="C14">
            <v>67</v>
          </cell>
          <cell r="D14">
            <v>91</v>
          </cell>
          <cell r="E14">
            <v>210</v>
          </cell>
          <cell r="F14">
            <v>166</v>
          </cell>
        </row>
        <row r="15">
          <cell r="B15" t="str">
            <v>Senateurs d'ottawa</v>
          </cell>
        </row>
        <row r="17">
          <cell r="B17" t="str">
            <v>Capitals de Washington</v>
          </cell>
          <cell r="C17">
            <v>69</v>
          </cell>
          <cell r="D17">
            <v>90</v>
          </cell>
          <cell r="E17">
            <v>223</v>
          </cell>
          <cell r="F17">
            <v>201</v>
          </cell>
        </row>
        <row r="18">
          <cell r="B18" t="str">
            <v>Wild du Minnesota</v>
          </cell>
          <cell r="C18">
            <v>67</v>
          </cell>
          <cell r="D18">
            <v>70</v>
          </cell>
          <cell r="E18">
            <v>172</v>
          </cell>
          <cell r="F18">
            <v>164</v>
          </cell>
        </row>
        <row r="19">
          <cell r="B19" t="str">
            <v>Sabres de Buffalo</v>
          </cell>
          <cell r="C19">
            <v>68</v>
          </cell>
          <cell r="D19">
            <v>75</v>
          </cell>
          <cell r="E19">
            <v>200</v>
          </cell>
          <cell r="F19">
            <v>189</v>
          </cell>
        </row>
        <row r="20">
          <cell r="B20" t="str">
            <v>Flames de Calgary</v>
          </cell>
          <cell r="C20">
            <v>68</v>
          </cell>
          <cell r="D20">
            <v>86</v>
          </cell>
          <cell r="E20">
            <v>223</v>
          </cell>
          <cell r="F20">
            <v>206</v>
          </cell>
        </row>
        <row r="21">
          <cell r="B21" t="str">
            <v>Predators de Nashville</v>
          </cell>
          <cell r="C21">
            <v>68</v>
          </cell>
          <cell r="D21">
            <v>71</v>
          </cell>
          <cell r="E21">
            <v>173</v>
          </cell>
          <cell r="F21">
            <v>189</v>
          </cell>
        </row>
        <row r="22">
          <cell r="B22" t="str">
            <v>Canucks de Vancouver</v>
          </cell>
          <cell r="C22">
            <v>66</v>
          </cell>
          <cell r="D22">
            <v>77</v>
          </cell>
          <cell r="E22">
            <v>198</v>
          </cell>
          <cell r="F22">
            <v>185</v>
          </cell>
        </row>
        <row r="25">
          <cell r="B25" t="str">
            <v>Lightning Tampa Bay</v>
          </cell>
        </row>
        <row r="29">
          <cell r="B29" t="str">
            <v>Blues de St-Louis</v>
          </cell>
          <cell r="C29">
            <v>67</v>
          </cell>
          <cell r="D29">
            <v>70</v>
          </cell>
          <cell r="E29">
            <v>188</v>
          </cell>
          <cell r="F29">
            <v>197</v>
          </cell>
        </row>
        <row r="31">
          <cell r="B31" t="str">
            <v>Oilers d'Edmonton</v>
          </cell>
          <cell r="C31">
            <v>67</v>
          </cell>
          <cell r="D31">
            <v>72</v>
          </cell>
          <cell r="E31">
            <v>190</v>
          </cell>
          <cell r="F31">
            <v>207</v>
          </cell>
        </row>
        <row r="32">
          <cell r="B32" t="str">
            <v>Blackhawks de Chicago</v>
          </cell>
          <cell r="C32">
            <v>65</v>
          </cell>
          <cell r="D32">
            <v>83</v>
          </cell>
          <cell r="E32">
            <v>215</v>
          </cell>
          <cell r="F32">
            <v>169</v>
          </cell>
        </row>
        <row r="34">
          <cell r="B34" t="str">
            <v>Bruins de Boston</v>
          </cell>
          <cell r="C34">
            <v>69</v>
          </cell>
          <cell r="D34">
            <v>97</v>
          </cell>
          <cell r="E34">
            <v>231</v>
          </cell>
          <cell r="F34">
            <v>160</v>
          </cell>
        </row>
        <row r="35">
          <cell r="B35" t="str">
            <v>Coyotes de Phoenix</v>
          </cell>
          <cell r="C35">
            <v>68</v>
          </cell>
          <cell r="D35">
            <v>62</v>
          </cell>
          <cell r="E35">
            <v>168</v>
          </cell>
          <cell r="F35">
            <v>210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"/>
      <sheetName val="Individuel"/>
      <sheetName val="Échanges"/>
      <sheetName val="Arch. Sem."/>
      <sheetName val="Arch. Mois"/>
      <sheetName val="Bourse"/>
    </sheetNames>
    <sheetDataSet>
      <sheetData sheetId="0">
        <row r="20">
          <cell r="C20">
            <v>1135.2</v>
          </cell>
        </row>
        <row r="37">
          <cell r="D37">
            <v>87.2</v>
          </cell>
        </row>
      </sheetData>
      <sheetData sheetId="1">
        <row r="19">
          <cell r="D19">
            <v>107.5</v>
          </cell>
          <cell r="I19">
            <v>146.5</v>
          </cell>
          <cell r="N19">
            <v>391.4</v>
          </cell>
        </row>
        <row r="33">
          <cell r="D33">
            <v>232.7</v>
          </cell>
          <cell r="I33">
            <v>193.3</v>
          </cell>
          <cell r="N33">
            <v>63.8</v>
          </cell>
        </row>
        <row r="47">
          <cell r="D47">
            <v>320.7</v>
          </cell>
          <cell r="I47">
            <v>539.3</v>
          </cell>
          <cell r="N47">
            <v>860</v>
          </cell>
        </row>
        <row r="61">
          <cell r="D61">
            <v>0.6703402518874818</v>
          </cell>
          <cell r="I61">
            <v>420.7</v>
          </cell>
          <cell r="N61" t="e">
            <v>#REF!</v>
          </cell>
        </row>
        <row r="75">
          <cell r="D75">
            <v>59.9</v>
          </cell>
          <cell r="I75">
            <v>7.1</v>
          </cell>
          <cell r="N75">
            <v>13.6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L.P.C.H.2007-08.xls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8"/>
  <sheetViews>
    <sheetView tabSelected="1" workbookViewId="0" topLeftCell="A1">
      <selection activeCell="E106" sqref="E106"/>
    </sheetView>
  </sheetViews>
  <sheetFormatPr defaultColWidth="11.421875" defaultRowHeight="12.75"/>
  <cols>
    <col min="1" max="1" width="3.7109375" style="1" customWidth="1"/>
    <col min="2" max="2" width="4.421875" style="1" customWidth="1"/>
    <col min="3" max="3" width="7.140625" style="1" customWidth="1"/>
    <col min="4" max="4" width="18.8515625" style="1" customWidth="1"/>
    <col min="5" max="7" width="5.57421875" style="1" customWidth="1"/>
    <col min="8" max="8" width="5.7109375" style="1" customWidth="1"/>
    <col min="9" max="9" width="7.00390625" style="1" customWidth="1"/>
    <col min="10" max="10" width="5.421875" style="1" customWidth="1"/>
    <col min="11" max="11" width="7.7109375" style="1" customWidth="1"/>
    <col min="12" max="12" width="2.57421875" style="1" customWidth="1"/>
    <col min="13" max="13" width="2.421875" style="1" customWidth="1"/>
    <col min="14" max="14" width="15.00390625" style="1" customWidth="1"/>
    <col min="15" max="16" width="8.00390625" style="1" customWidth="1"/>
    <col min="17" max="17" width="7.7109375" style="1" customWidth="1"/>
    <col min="18" max="18" width="12.57421875" style="1" customWidth="1"/>
    <col min="19" max="19" width="11.421875" style="1" customWidth="1"/>
    <col min="20" max="20" width="2.28125" style="1" customWidth="1"/>
    <col min="21" max="21" width="1.7109375" style="1" customWidth="1"/>
    <col min="22" max="22" width="2.140625" style="1" customWidth="1"/>
    <col min="23" max="23" width="14.00390625" style="1" customWidth="1"/>
    <col min="24" max="24" width="6.140625" style="1" customWidth="1"/>
    <col min="25" max="27" width="7.28125" style="1" customWidth="1"/>
    <col min="28" max="16384" width="11.421875" style="1" customWidth="1"/>
  </cols>
  <sheetData>
    <row r="1" spans="13:21" ht="12.75">
      <c r="M1" s="2"/>
      <c r="U1" s="161"/>
    </row>
    <row r="2" spans="13:21" ht="12.75">
      <c r="M2" s="2"/>
      <c r="U2" s="161"/>
    </row>
    <row r="3" spans="13:21" ht="12.75">
      <c r="M3" s="2"/>
      <c r="U3" s="161"/>
    </row>
    <row r="4" spans="13:21" ht="12.75">
      <c r="M4" s="2"/>
      <c r="U4" s="161"/>
    </row>
    <row r="5" spans="13:21" ht="12.75">
      <c r="M5" s="2"/>
      <c r="U5" s="161"/>
    </row>
    <row r="6" spans="2:21" ht="13.5">
      <c r="B6" s="270" t="s">
        <v>0</v>
      </c>
      <c r="C6" s="270"/>
      <c r="D6" s="270"/>
      <c r="E6" s="270"/>
      <c r="F6" s="270"/>
      <c r="G6" s="270"/>
      <c r="H6" s="270"/>
      <c r="I6" s="270"/>
      <c r="J6" s="270"/>
      <c r="K6" s="270"/>
      <c r="L6" s="3"/>
      <c r="M6" s="4"/>
      <c r="U6" s="161"/>
    </row>
    <row r="7" spans="2:21" ht="12.7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U7" s="161"/>
    </row>
    <row r="8" spans="2:21" ht="13.5" thickBo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/>
      <c r="U8" s="161"/>
    </row>
    <row r="9" spans="2:21" ht="15" customHeight="1" thickBot="1">
      <c r="B9" s="7"/>
      <c r="C9" s="271" t="s">
        <v>66</v>
      </c>
      <c r="D9" s="271"/>
      <c r="E9" s="9" t="s">
        <v>2</v>
      </c>
      <c r="F9" s="9" t="s">
        <v>3</v>
      </c>
      <c r="G9" s="9" t="s">
        <v>4</v>
      </c>
      <c r="H9" s="9" t="s">
        <v>5</v>
      </c>
      <c r="I9" s="10" t="s">
        <v>6</v>
      </c>
      <c r="J9" s="7"/>
      <c r="K9" s="7"/>
      <c r="L9" s="7"/>
      <c r="M9" s="8"/>
      <c r="U9" s="161"/>
    </row>
    <row r="10" spans="2:28" ht="15" customHeight="1" thickBot="1" thickTop="1">
      <c r="B10" s="7"/>
      <c r="C10" s="272" t="str">
        <f>'[1]Equipes-Pool'!$B$8</f>
        <v>Sharks de San jose</v>
      </c>
      <c r="D10" s="273"/>
      <c r="E10" s="231">
        <f>('[1]Equipes-Pool'!$C$8)-11</f>
        <v>55</v>
      </c>
      <c r="F10" s="103">
        <f>('[1]Equipes-Pool'!$D$8)-20</f>
        <v>76</v>
      </c>
      <c r="G10" s="103">
        <f>('[1]Equipes-Pool'!$E$8)-47</f>
        <v>169</v>
      </c>
      <c r="H10" s="103">
        <f>('[1]Equipes-Pool'!$F$8)-27</f>
        <v>140</v>
      </c>
      <c r="I10" s="132">
        <f>F10+(G10-H10)</f>
        <v>105</v>
      </c>
      <c r="J10" s="7"/>
      <c r="K10" s="7"/>
      <c r="L10" s="7"/>
      <c r="M10" s="8"/>
      <c r="N10" s="265" t="s">
        <v>65</v>
      </c>
      <c r="O10" s="266"/>
      <c r="P10" s="266"/>
      <c r="Q10" s="266"/>
      <c r="R10" s="267"/>
      <c r="U10" s="161"/>
      <c r="W10" s="293" t="s">
        <v>374</v>
      </c>
      <c r="X10" s="294"/>
      <c r="Y10" s="294"/>
      <c r="Z10" s="294"/>
      <c r="AA10" s="294"/>
      <c r="AB10" s="295"/>
    </row>
    <row r="11" spans="2:28" ht="15" customHeight="1" thickBot="1">
      <c r="B11" s="7"/>
      <c r="C11" s="263" t="str">
        <f>'[1]Equipes-Pool'!$B$11</f>
        <v>Mighty Ducks d'Anaheim</v>
      </c>
      <c r="D11" s="264"/>
      <c r="E11" s="228">
        <v>17</v>
      </c>
      <c r="F11" s="228">
        <v>27</v>
      </c>
      <c r="G11" s="228">
        <v>55</v>
      </c>
      <c r="H11" s="228">
        <v>44</v>
      </c>
      <c r="I11" s="211">
        <f>F11+(G11-H11)</f>
        <v>38</v>
      </c>
      <c r="J11" s="145"/>
      <c r="K11" s="7"/>
      <c r="L11" s="7"/>
      <c r="M11" s="8"/>
      <c r="N11" s="16" t="s">
        <v>8</v>
      </c>
      <c r="O11" s="17" t="s">
        <v>9</v>
      </c>
      <c r="P11" s="71" t="s">
        <v>10</v>
      </c>
      <c r="Q11" s="18" t="s">
        <v>11</v>
      </c>
      <c r="R11" s="19" t="s">
        <v>68</v>
      </c>
      <c r="U11" s="161"/>
      <c r="W11" s="152" t="s">
        <v>8</v>
      </c>
      <c r="X11" s="296" t="s">
        <v>83</v>
      </c>
      <c r="Y11" s="297"/>
      <c r="Z11" s="296" t="s">
        <v>196</v>
      </c>
      <c r="AA11" s="297"/>
      <c r="AB11" s="158" t="s">
        <v>159</v>
      </c>
    </row>
    <row r="12" spans="2:28" ht="14.25" thickTop="1">
      <c r="B12" s="7"/>
      <c r="C12" s="274" t="s">
        <v>7</v>
      </c>
      <c r="D12" s="275"/>
      <c r="E12" s="14">
        <f>SUM(E10:E11)</f>
        <v>72</v>
      </c>
      <c r="F12" s="14">
        <f>SUM(F10:F11)</f>
        <v>103</v>
      </c>
      <c r="G12" s="14">
        <f>SUM(G10:G11)</f>
        <v>224</v>
      </c>
      <c r="H12" s="14">
        <f>SUM(H10:H11)</f>
        <v>184</v>
      </c>
      <c r="I12" s="15">
        <f>F12+(G12-H12)</f>
        <v>143</v>
      </c>
      <c r="J12" s="7"/>
      <c r="K12" s="7"/>
      <c r="L12" s="7"/>
      <c r="M12" s="8"/>
      <c r="N12" s="20" t="s">
        <v>12</v>
      </c>
      <c r="O12" s="21">
        <f>E12</f>
        <v>72</v>
      </c>
      <c r="P12" s="72">
        <f>I12</f>
        <v>143</v>
      </c>
      <c r="Q12" s="23">
        <f aca="true" t="shared" si="0" ref="Q12:Q18">P12/O12</f>
        <v>1.9861111111111112</v>
      </c>
      <c r="R12" s="22">
        <f>'[2]Individuel'!$D$19</f>
        <v>107.5</v>
      </c>
      <c r="U12" s="161"/>
      <c r="W12" s="155"/>
      <c r="X12" s="154" t="s">
        <v>143</v>
      </c>
      <c r="Y12" s="154" t="s">
        <v>157</v>
      </c>
      <c r="Z12" s="154" t="s">
        <v>143</v>
      </c>
      <c r="AA12" s="154" t="s">
        <v>157</v>
      </c>
      <c r="AB12" s="156"/>
    </row>
    <row r="13" spans="2:28" ht="1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25"/>
      <c r="N13" s="26" t="s">
        <v>14</v>
      </c>
      <c r="O13" s="27">
        <f>E21</f>
        <v>103</v>
      </c>
      <c r="P13" s="73">
        <f>K21</f>
        <v>152</v>
      </c>
      <c r="Q13" s="29">
        <f t="shared" si="0"/>
        <v>1.4757281553398058</v>
      </c>
      <c r="R13" s="28">
        <f>'[2]Individuel'!$I$19</f>
        <v>146.5</v>
      </c>
      <c r="U13" s="161"/>
      <c r="W13" s="153" t="s">
        <v>156</v>
      </c>
      <c r="X13" s="14" t="s">
        <v>150</v>
      </c>
      <c r="Y13" s="14">
        <v>1309</v>
      </c>
      <c r="Z13" s="14"/>
      <c r="AA13" s="14"/>
      <c r="AB13" s="139">
        <f>Y13+AA13</f>
        <v>1309</v>
      </c>
    </row>
    <row r="14" spans="2:28" ht="15" customHeight="1" thickBot="1">
      <c r="B14" s="254" t="s">
        <v>13</v>
      </c>
      <c r="C14" s="254"/>
      <c r="D14" s="254"/>
      <c r="E14" s="254"/>
      <c r="F14" s="254"/>
      <c r="G14" s="254"/>
      <c r="H14" s="254"/>
      <c r="I14" s="254"/>
      <c r="J14" s="254"/>
      <c r="K14" s="254"/>
      <c r="L14" s="24"/>
      <c r="M14" s="8"/>
      <c r="N14" s="26" t="s">
        <v>23</v>
      </c>
      <c r="O14" s="27">
        <f>E40</f>
        <v>539</v>
      </c>
      <c r="P14" s="73">
        <f>H40</f>
        <v>398</v>
      </c>
      <c r="Q14" s="29">
        <f t="shared" si="0"/>
        <v>0.738404452690167</v>
      </c>
      <c r="R14" s="28">
        <f>'[2]Individuel'!$N$19</f>
        <v>391.4</v>
      </c>
      <c r="U14" s="161"/>
      <c r="W14" s="49" t="s">
        <v>105</v>
      </c>
      <c r="X14" s="43" t="s">
        <v>147</v>
      </c>
      <c r="Y14" s="43">
        <v>143</v>
      </c>
      <c r="Z14" s="43"/>
      <c r="AA14" s="43"/>
      <c r="AB14" s="139">
        <f aca="true" t="shared" si="1" ref="AB14:AB28">Y14+AA14</f>
        <v>143</v>
      </c>
    </row>
    <row r="15" spans="2:28" ht="15" customHeight="1" thickBot="1">
      <c r="B15" s="30" t="s">
        <v>15</v>
      </c>
      <c r="C15" s="30" t="s">
        <v>16</v>
      </c>
      <c r="D15" s="30" t="s">
        <v>17</v>
      </c>
      <c r="E15" s="31" t="s">
        <v>2</v>
      </c>
      <c r="F15" s="31" t="s">
        <v>18</v>
      </c>
      <c r="G15" s="31" t="s">
        <v>19</v>
      </c>
      <c r="H15" s="31" t="s">
        <v>20</v>
      </c>
      <c r="I15" s="31" t="s">
        <v>21</v>
      </c>
      <c r="J15" s="31" t="s">
        <v>22</v>
      </c>
      <c r="K15" s="32" t="s">
        <v>6</v>
      </c>
      <c r="L15" s="7"/>
      <c r="M15" s="8"/>
      <c r="N15" s="26" t="s">
        <v>24</v>
      </c>
      <c r="O15" s="27">
        <f>E50</f>
        <v>263</v>
      </c>
      <c r="P15" s="73">
        <f>H50</f>
        <v>232</v>
      </c>
      <c r="Q15" s="29">
        <f t="shared" si="0"/>
        <v>0.8821292775665399</v>
      </c>
      <c r="R15" s="28">
        <f>'[2]Individuel'!$D$33</f>
        <v>232.7</v>
      </c>
      <c r="U15" s="161"/>
      <c r="W15" s="49" t="s">
        <v>166</v>
      </c>
      <c r="X15" s="43" t="s">
        <v>146</v>
      </c>
      <c r="Y15" s="43">
        <v>137</v>
      </c>
      <c r="Z15" s="43"/>
      <c r="AA15" s="43"/>
      <c r="AB15" s="139">
        <f t="shared" si="1"/>
        <v>137</v>
      </c>
    </row>
    <row r="16" spans="2:28" ht="15" customHeight="1" thickTop="1">
      <c r="B16" s="189">
        <f>'[1]Pool-gardien'!$B$5</f>
        <v>33.657534246575345</v>
      </c>
      <c r="C16" s="189" t="str">
        <f>'[1]Pool-gardien'!$C$5</f>
        <v>S.J.</v>
      </c>
      <c r="D16" s="190" t="str">
        <f>'[1]Pool-gardien'!$D$5</f>
        <v>Evgeni Nabokov</v>
      </c>
      <c r="E16" s="185">
        <v>47</v>
      </c>
      <c r="F16" s="185">
        <v>32</v>
      </c>
      <c r="G16" s="185">
        <v>7</v>
      </c>
      <c r="H16" s="185">
        <v>5</v>
      </c>
      <c r="I16" s="185">
        <v>0</v>
      </c>
      <c r="J16" s="185">
        <v>0</v>
      </c>
      <c r="K16" s="203">
        <f aca="true" t="shared" si="2" ref="K16:K21">(F16*2)+G16+(H16*4)+(I16*10)+J16</f>
        <v>91</v>
      </c>
      <c r="L16" s="7"/>
      <c r="M16" s="8"/>
      <c r="N16" s="26" t="s">
        <v>25</v>
      </c>
      <c r="O16" s="27">
        <f>E65</f>
        <v>398</v>
      </c>
      <c r="P16" s="73">
        <f>H65</f>
        <v>224</v>
      </c>
      <c r="Q16" s="29">
        <f t="shared" si="0"/>
        <v>0.5628140703517588</v>
      </c>
      <c r="R16" s="28">
        <f>'[2]Individuel'!$I$33</f>
        <v>193.3</v>
      </c>
      <c r="U16" s="161"/>
      <c r="W16" s="49" t="s">
        <v>14</v>
      </c>
      <c r="X16" s="73" t="s">
        <v>95</v>
      </c>
      <c r="Y16" s="43">
        <v>211</v>
      </c>
      <c r="Z16" s="43"/>
      <c r="AA16" s="43"/>
      <c r="AB16" s="139">
        <f t="shared" si="1"/>
        <v>211</v>
      </c>
    </row>
    <row r="17" spans="2:28" ht="15" customHeight="1" thickBot="1">
      <c r="B17" s="108">
        <f>'[1]Pool-gardien'!$B$99</f>
        <v>32.21369863013699</v>
      </c>
      <c r="C17" s="108" t="str">
        <f>'[1]Pool-gardien'!$C$99</f>
        <v>S.J.</v>
      </c>
      <c r="D17" s="110" t="str">
        <f>'[1]Pool-gardien'!$D$99</f>
        <v>Brian Boucher</v>
      </c>
      <c r="E17" s="108">
        <f>(('[1]Pool-gardien'!$E$99)-9)-7</f>
        <v>4</v>
      </c>
      <c r="F17" s="108">
        <f>(('[1]Pool-gardien'!$F$99)-7)-3</f>
        <v>1</v>
      </c>
      <c r="G17" s="108">
        <f>(('[1]Pool-gardien'!$G$99)-1)-1</f>
        <v>1</v>
      </c>
      <c r="H17" s="108">
        <f>(('[1]Pool-gardien'!$H$99)-2)-0</f>
        <v>0</v>
      </c>
      <c r="I17" s="108">
        <f>(('[1]Pool-gardien'!$I$99)-0)-0</f>
        <v>0</v>
      </c>
      <c r="J17" s="108">
        <f>(('[1]Pool-gardien'!$J$99)-0)-0</f>
        <v>0</v>
      </c>
      <c r="K17" s="33">
        <f t="shared" si="2"/>
        <v>3</v>
      </c>
      <c r="L17" s="7"/>
      <c r="M17" s="8"/>
      <c r="N17" s="38" t="s">
        <v>27</v>
      </c>
      <c r="O17" s="39">
        <f>E74</f>
        <v>125</v>
      </c>
      <c r="P17" s="74">
        <f>H74</f>
        <v>68</v>
      </c>
      <c r="Q17" s="41">
        <f t="shared" si="0"/>
        <v>0.544</v>
      </c>
      <c r="R17" s="40">
        <f>'[2]Individuel'!$N$33</f>
        <v>63.8</v>
      </c>
      <c r="U17" s="161"/>
      <c r="W17" s="49" t="s">
        <v>84</v>
      </c>
      <c r="X17" s="43" t="s">
        <v>151</v>
      </c>
      <c r="Y17" s="43">
        <v>444</v>
      </c>
      <c r="Z17" s="43"/>
      <c r="AA17" s="43"/>
      <c r="AB17" s="139">
        <f t="shared" si="1"/>
        <v>444</v>
      </c>
    </row>
    <row r="18" spans="2:28" ht="15" customHeight="1">
      <c r="B18" s="109">
        <f>'[1]Pool-gardien'!$B$41</f>
        <v>39.443835616438356</v>
      </c>
      <c r="C18" s="109" t="str">
        <f>'[1]Pool-gardien'!$C$41</f>
        <v>Edm</v>
      </c>
      <c r="D18" s="111" t="str">
        <f>'[1]Pool-gardien'!$D$41</f>
        <v>Dwayne Roloson</v>
      </c>
      <c r="E18" s="109">
        <f>(('[1]Pool-gardien'!$E$41)-5)-4</f>
        <v>41</v>
      </c>
      <c r="F18" s="109">
        <f>(('[1]Pool-gardien'!$F$41)-2)-1</f>
        <v>20</v>
      </c>
      <c r="G18" s="109">
        <f>(('[1]Pool-gardien'!$G$41)-1)-1</f>
        <v>6</v>
      </c>
      <c r="H18" s="109">
        <f>(('[1]Pool-gardien'!$H$41)-0)-0</f>
        <v>1</v>
      </c>
      <c r="I18" s="109">
        <f>(('[1]Pool-gardien'!$I$41)-0)-0</f>
        <v>0</v>
      </c>
      <c r="J18" s="109">
        <f>(('[1]Pool-gardien'!$J$41)-0)-0</f>
        <v>0</v>
      </c>
      <c r="K18" s="33">
        <f t="shared" si="2"/>
        <v>50</v>
      </c>
      <c r="L18" s="7"/>
      <c r="M18" s="8"/>
      <c r="N18" s="42" t="s">
        <v>28</v>
      </c>
      <c r="O18" s="22">
        <f>SUM(O12:O17)</f>
        <v>1500</v>
      </c>
      <c r="P18" s="75">
        <f>SUM(P12:P17)</f>
        <v>1217</v>
      </c>
      <c r="Q18" s="23">
        <f t="shared" si="0"/>
        <v>0.8113333333333334</v>
      </c>
      <c r="R18" s="22">
        <f>'[2]Classement'!$C$20</f>
        <v>1135.2</v>
      </c>
      <c r="U18" s="161"/>
      <c r="W18" s="49" t="s">
        <v>24</v>
      </c>
      <c r="X18" s="43" t="s">
        <v>153</v>
      </c>
      <c r="Y18" s="43">
        <v>245</v>
      </c>
      <c r="Z18" s="43"/>
      <c r="AA18" s="43"/>
      <c r="AB18" s="139">
        <f t="shared" si="1"/>
        <v>245</v>
      </c>
    </row>
    <row r="19" spans="1:28" ht="15" customHeight="1" thickBot="1">
      <c r="A19" s="142"/>
      <c r="B19" s="180">
        <f>'[1]Pool-gardien'!$B$29</f>
        <v>31.194520547945206</v>
      </c>
      <c r="C19" s="180" t="str">
        <f>'[1]Pool-gardien'!$C$29</f>
        <v>Pit</v>
      </c>
      <c r="D19" s="181" t="str">
        <f>'[1]Pool-gardien'!$D$29</f>
        <v>Mathieu Garon</v>
      </c>
      <c r="E19" s="180">
        <v>8</v>
      </c>
      <c r="F19" s="180">
        <v>3</v>
      </c>
      <c r="G19" s="180">
        <v>0</v>
      </c>
      <c r="H19" s="180">
        <v>0</v>
      </c>
      <c r="I19" s="180">
        <v>0</v>
      </c>
      <c r="J19" s="180">
        <v>0</v>
      </c>
      <c r="K19" s="203">
        <f t="shared" si="2"/>
        <v>6</v>
      </c>
      <c r="L19" s="7"/>
      <c r="M19" s="8"/>
      <c r="U19" s="161"/>
      <c r="W19" s="49" t="s">
        <v>25</v>
      </c>
      <c r="X19" s="43" t="s">
        <v>154</v>
      </c>
      <c r="Y19" s="43">
        <v>185</v>
      </c>
      <c r="Z19" s="43"/>
      <c r="AA19" s="43"/>
      <c r="AB19" s="139">
        <f t="shared" si="1"/>
        <v>185</v>
      </c>
    </row>
    <row r="20" spans="2:28" ht="15" customHeight="1" thickBot="1">
      <c r="B20" s="183">
        <f>'[1]Pool-gardien'!$B$78</f>
        <v>33.964383561643835</v>
      </c>
      <c r="C20" s="183" t="str">
        <f>'[1]Pool-gardien'!$C$78</f>
        <v>N.J.</v>
      </c>
      <c r="D20" s="184" t="str">
        <f>'[1]Pool-gardien'!$D$78</f>
        <v>Kevin Weekes</v>
      </c>
      <c r="E20" s="196">
        <v>3</v>
      </c>
      <c r="F20" s="196">
        <v>1</v>
      </c>
      <c r="G20" s="196">
        <v>0</v>
      </c>
      <c r="H20" s="196">
        <v>0</v>
      </c>
      <c r="I20" s="196">
        <v>0</v>
      </c>
      <c r="J20" s="196">
        <v>0</v>
      </c>
      <c r="K20" s="197">
        <f t="shared" si="2"/>
        <v>2</v>
      </c>
      <c r="L20" s="7"/>
      <c r="M20" s="8"/>
      <c r="N20" s="265" t="s">
        <v>64</v>
      </c>
      <c r="O20" s="266"/>
      <c r="P20" s="266"/>
      <c r="Q20" s="266"/>
      <c r="R20" s="267"/>
      <c r="U20" s="161"/>
      <c r="W20" s="49" t="s">
        <v>85</v>
      </c>
      <c r="X20" s="43" t="s">
        <v>149</v>
      </c>
      <c r="Y20" s="43">
        <v>87</v>
      </c>
      <c r="Z20" s="43"/>
      <c r="AA20" s="43"/>
      <c r="AB20" s="139">
        <f t="shared" si="1"/>
        <v>87</v>
      </c>
    </row>
    <row r="21" spans="2:28" ht="15" customHeight="1" thickBot="1">
      <c r="B21" s="274" t="s">
        <v>26</v>
      </c>
      <c r="C21" s="275"/>
      <c r="D21" s="255"/>
      <c r="E21" s="14">
        <f aca="true" t="shared" si="3" ref="E21:J21">SUM(E16:E20)</f>
        <v>103</v>
      </c>
      <c r="F21" s="14">
        <f t="shared" si="3"/>
        <v>57</v>
      </c>
      <c r="G21" s="14">
        <f t="shared" si="3"/>
        <v>14</v>
      </c>
      <c r="H21" s="14">
        <f t="shared" si="3"/>
        <v>6</v>
      </c>
      <c r="I21" s="14">
        <f t="shared" si="3"/>
        <v>0</v>
      </c>
      <c r="J21" s="14">
        <f t="shared" si="3"/>
        <v>0</v>
      </c>
      <c r="K21" s="33">
        <f t="shared" si="2"/>
        <v>152</v>
      </c>
      <c r="L21" s="7"/>
      <c r="M21" s="8"/>
      <c r="N21" s="16" t="s">
        <v>8</v>
      </c>
      <c r="O21" s="17" t="s">
        <v>9</v>
      </c>
      <c r="P21" s="71" t="s">
        <v>10</v>
      </c>
      <c r="Q21" s="18" t="s">
        <v>11</v>
      </c>
      <c r="R21" s="19" t="s">
        <v>68</v>
      </c>
      <c r="U21" s="161"/>
      <c r="W21" s="49" t="s">
        <v>21</v>
      </c>
      <c r="X21" s="43" t="s">
        <v>151</v>
      </c>
      <c r="Y21" s="43">
        <v>347</v>
      </c>
      <c r="Z21" s="43"/>
      <c r="AA21" s="43"/>
      <c r="AB21" s="139">
        <f t="shared" si="1"/>
        <v>347</v>
      </c>
    </row>
    <row r="22" spans="2:28" ht="15" customHeight="1" thickTop="1">
      <c r="B22" s="5"/>
      <c r="C22" s="5"/>
      <c r="D22" s="5"/>
      <c r="E22" s="7"/>
      <c r="F22" s="7"/>
      <c r="G22" s="7"/>
      <c r="H22" s="7"/>
      <c r="I22" s="7"/>
      <c r="J22" s="7"/>
      <c r="K22" s="7"/>
      <c r="L22" s="7"/>
      <c r="M22" s="8"/>
      <c r="N22" s="20" t="s">
        <v>31</v>
      </c>
      <c r="O22" s="27">
        <f>E81</f>
        <v>62</v>
      </c>
      <c r="P22" s="73">
        <f>I81</f>
        <v>62</v>
      </c>
      <c r="Q22" s="29">
        <f>P22/O22</f>
        <v>1</v>
      </c>
      <c r="R22" s="63"/>
      <c r="U22" s="161"/>
      <c r="W22" s="49" t="s">
        <v>30</v>
      </c>
      <c r="X22" s="43" t="s">
        <v>149</v>
      </c>
      <c r="Y22" s="43">
        <v>614</v>
      </c>
      <c r="Z22" s="43"/>
      <c r="AA22" s="43"/>
      <c r="AB22" s="139">
        <f t="shared" si="1"/>
        <v>614</v>
      </c>
    </row>
    <row r="23" spans="2:28" ht="15" customHeight="1" thickBot="1">
      <c r="B23" s="256" t="s">
        <v>23</v>
      </c>
      <c r="C23" s="257"/>
      <c r="D23" s="257"/>
      <c r="E23" s="257"/>
      <c r="F23" s="257"/>
      <c r="G23" s="257"/>
      <c r="H23" s="257"/>
      <c r="I23" s="258"/>
      <c r="J23" s="7"/>
      <c r="K23" s="7"/>
      <c r="L23" s="7"/>
      <c r="M23" s="8"/>
      <c r="N23" s="26" t="s">
        <v>32</v>
      </c>
      <c r="O23" s="27">
        <f>E91</f>
        <v>69</v>
      </c>
      <c r="P23" s="73">
        <f>K91</f>
        <v>78</v>
      </c>
      <c r="Q23" s="29">
        <f aca="true" t="shared" si="4" ref="Q23:Q28">P23/O23</f>
        <v>1.1304347826086956</v>
      </c>
      <c r="R23" s="63"/>
      <c r="U23" s="161"/>
      <c r="W23" s="49" t="s">
        <v>86</v>
      </c>
      <c r="X23" s="43" t="s">
        <v>150</v>
      </c>
      <c r="Y23" s="43">
        <v>961</v>
      </c>
      <c r="Z23" s="43"/>
      <c r="AA23" s="43"/>
      <c r="AB23" s="139">
        <f t="shared" si="1"/>
        <v>961</v>
      </c>
    </row>
    <row r="24" spans="2:28" ht="15" customHeight="1" thickBot="1">
      <c r="B24" s="30" t="s">
        <v>15</v>
      </c>
      <c r="C24" s="30" t="s">
        <v>29</v>
      </c>
      <c r="D24" s="30" t="s">
        <v>17</v>
      </c>
      <c r="E24" s="31" t="s">
        <v>2</v>
      </c>
      <c r="F24" s="31" t="s">
        <v>21</v>
      </c>
      <c r="G24" s="31" t="s">
        <v>30</v>
      </c>
      <c r="H24" s="32" t="s">
        <v>6</v>
      </c>
      <c r="I24" s="31" t="s">
        <v>11</v>
      </c>
      <c r="J24" s="7"/>
      <c r="K24" s="7"/>
      <c r="L24" s="7"/>
      <c r="M24" s="8"/>
      <c r="N24" s="26" t="s">
        <v>33</v>
      </c>
      <c r="O24" s="27">
        <f>E110</f>
        <v>201</v>
      </c>
      <c r="P24" s="73">
        <f>H110</f>
        <v>128</v>
      </c>
      <c r="Q24" s="29">
        <f t="shared" si="4"/>
        <v>0.6368159203980099</v>
      </c>
      <c r="R24" s="63"/>
      <c r="U24" s="161"/>
      <c r="W24" s="49" t="s">
        <v>87</v>
      </c>
      <c r="X24" s="43" t="s">
        <v>147</v>
      </c>
      <c r="Y24" s="43">
        <v>600</v>
      </c>
      <c r="Z24" s="43"/>
      <c r="AA24" s="43"/>
      <c r="AB24" s="139">
        <f t="shared" si="1"/>
        <v>600</v>
      </c>
    </row>
    <row r="25" spans="2:28" ht="15" customHeight="1" thickTop="1">
      <c r="B25" s="107">
        <f>'[1]POOL-joueus'!$B$36</f>
        <v>20.326027397260273</v>
      </c>
      <c r="C25" s="107" t="str">
        <f>'[1]POOL-joueus'!$C$36</f>
        <v>Chi</v>
      </c>
      <c r="D25" s="124" t="str">
        <f>'[1]POOL-joueus'!$D$36</f>
        <v>Patrick Kane</v>
      </c>
      <c r="E25" s="107">
        <f>('[1]POOL-joueus'!$E$36)-1</f>
        <v>62</v>
      </c>
      <c r="F25" s="107">
        <f>('[1]POOL-joueus'!$F$36)</f>
        <v>21</v>
      </c>
      <c r="G25" s="107">
        <f>('[1]POOL-joueus'!$G$36)-1</f>
        <v>37</v>
      </c>
      <c r="H25" s="44">
        <f aca="true" t="shared" si="5" ref="H25:H40">SUM(F25:G25)</f>
        <v>58</v>
      </c>
      <c r="I25" s="45">
        <f aca="true" t="shared" si="6" ref="I25:I40">H25/E25</f>
        <v>0.9354838709677419</v>
      </c>
      <c r="J25" s="145"/>
      <c r="K25" s="7"/>
      <c r="L25" s="7"/>
      <c r="M25" s="8"/>
      <c r="N25" s="26" t="s">
        <v>34</v>
      </c>
      <c r="O25" s="27">
        <f>E120</f>
        <v>104</v>
      </c>
      <c r="P25" s="73">
        <f>H120</f>
        <v>70</v>
      </c>
      <c r="Q25" s="29">
        <f t="shared" si="4"/>
        <v>0.6730769230769231</v>
      </c>
      <c r="R25" s="63"/>
      <c r="U25" s="161"/>
      <c r="W25" s="49" t="s">
        <v>112</v>
      </c>
      <c r="X25" s="43" t="s">
        <v>147</v>
      </c>
      <c r="Y25" s="43">
        <v>80</v>
      </c>
      <c r="Z25" s="43"/>
      <c r="AA25" s="43"/>
      <c r="AB25" s="139">
        <f t="shared" si="1"/>
        <v>80</v>
      </c>
    </row>
    <row r="26" spans="2:28" ht="15" customHeight="1">
      <c r="B26" s="185">
        <f>'[1]POOL-joueus'!$B$48</f>
        <v>30.186301369863013</v>
      </c>
      <c r="C26" s="185" t="str">
        <f>'[1]POOL-joueus'!$C$48</f>
        <v>Det</v>
      </c>
      <c r="D26" s="186" t="str">
        <f>'[1]POOL-joueus'!$D$48</f>
        <v>Marian Hossa</v>
      </c>
      <c r="E26" s="185">
        <v>62</v>
      </c>
      <c r="F26" s="185">
        <v>34</v>
      </c>
      <c r="G26" s="185">
        <v>27</v>
      </c>
      <c r="H26" s="187">
        <f t="shared" si="5"/>
        <v>61</v>
      </c>
      <c r="I26" s="188">
        <f t="shared" si="6"/>
        <v>0.9838709677419355</v>
      </c>
      <c r="J26" s="7"/>
      <c r="K26" s="7"/>
      <c r="L26" s="7"/>
      <c r="M26" s="8"/>
      <c r="N26" s="26" t="s">
        <v>35</v>
      </c>
      <c r="O26" s="27">
        <f>E132</f>
        <v>127</v>
      </c>
      <c r="P26" s="73">
        <f>H132</f>
        <v>32</v>
      </c>
      <c r="Q26" s="29">
        <f t="shared" si="4"/>
        <v>0.25196850393700787</v>
      </c>
      <c r="R26" s="63"/>
      <c r="U26" s="161"/>
      <c r="W26" s="49" t="s">
        <v>88</v>
      </c>
      <c r="X26" s="43" t="s">
        <v>147</v>
      </c>
      <c r="Y26" s="43">
        <v>10</v>
      </c>
      <c r="Z26" s="43"/>
      <c r="AA26" s="43"/>
      <c r="AB26" s="139">
        <f t="shared" si="1"/>
        <v>10</v>
      </c>
    </row>
    <row r="27" spans="2:28" ht="15" customHeight="1" thickBot="1">
      <c r="B27" s="109">
        <f>'[1]POOL-joueus'!$B$407</f>
        <v>26.46849315068493</v>
      </c>
      <c r="C27" s="109" t="str">
        <f>'[1]POOL-joueus'!$C$407</f>
        <v>S.J.</v>
      </c>
      <c r="D27" s="111" t="str">
        <f>'[1]POOL-joueus'!$D$407</f>
        <v>Ryane Clowe</v>
      </c>
      <c r="E27" s="109">
        <f>('[1]POOL-joueus'!$E$407)-2</f>
        <v>64</v>
      </c>
      <c r="F27" s="109">
        <f>('[1]POOL-joueus'!$F$407)</f>
        <v>22</v>
      </c>
      <c r="G27" s="109">
        <f>('[1]POOL-joueus'!$G$407)-1</f>
        <v>29</v>
      </c>
      <c r="H27" s="44">
        <f t="shared" si="5"/>
        <v>51</v>
      </c>
      <c r="I27" s="45">
        <f t="shared" si="6"/>
        <v>0.796875</v>
      </c>
      <c r="J27" s="145"/>
      <c r="K27" s="7"/>
      <c r="L27" s="7"/>
      <c r="M27" s="8"/>
      <c r="N27" s="38" t="s">
        <v>36</v>
      </c>
      <c r="O27" s="117">
        <f>E151</f>
        <v>89</v>
      </c>
      <c r="P27" s="74">
        <f>H151</f>
        <v>36</v>
      </c>
      <c r="Q27" s="41">
        <f t="shared" si="4"/>
        <v>0.4044943820224719</v>
      </c>
      <c r="R27" s="64"/>
      <c r="U27" s="161"/>
      <c r="W27" s="49" t="s">
        <v>160</v>
      </c>
      <c r="X27" s="43" t="s">
        <v>146</v>
      </c>
      <c r="Y27" s="43">
        <v>17</v>
      </c>
      <c r="Z27" s="43"/>
      <c r="AA27" s="43"/>
      <c r="AB27" s="139">
        <f t="shared" si="1"/>
        <v>17</v>
      </c>
    </row>
    <row r="28" spans="2:28" ht="15" customHeight="1">
      <c r="B28" s="107">
        <f>'[1]POOL-joueus'!$B$58</f>
        <v>32.33424657534247</v>
      </c>
      <c r="C28" s="107" t="str">
        <f>'[1]POOL-joueus'!$C$58</f>
        <v>Pit</v>
      </c>
      <c r="D28" s="124" t="str">
        <f>'[1]POOL-joueus'!$D$58</f>
        <v>Petr Sykora</v>
      </c>
      <c r="E28" s="107">
        <f>'[1]POOL-joueus'!$E$58</f>
        <v>63</v>
      </c>
      <c r="F28" s="107">
        <f>'[1]POOL-joueus'!$F$58</f>
        <v>23</v>
      </c>
      <c r="G28" s="107">
        <f>'[1]POOL-joueus'!$G$58</f>
        <v>21</v>
      </c>
      <c r="H28" s="44">
        <f t="shared" si="5"/>
        <v>44</v>
      </c>
      <c r="I28" s="45">
        <f t="shared" si="6"/>
        <v>0.6984126984126984</v>
      </c>
      <c r="J28" s="7"/>
      <c r="K28" s="7"/>
      <c r="L28" s="7"/>
      <c r="M28" s="8"/>
      <c r="N28" s="42" t="s">
        <v>37</v>
      </c>
      <c r="O28" s="22">
        <f>SUM(O22:O27)</f>
        <v>652</v>
      </c>
      <c r="P28" s="72">
        <f>SUM(P22:P27)</f>
        <v>406</v>
      </c>
      <c r="Q28" s="23">
        <f t="shared" si="4"/>
        <v>0.6226993865030674</v>
      </c>
      <c r="R28" s="22">
        <f>'[2]Individuel'!$I$61</f>
        <v>420.7</v>
      </c>
      <c r="U28" s="161"/>
      <c r="W28" s="49" t="s">
        <v>161</v>
      </c>
      <c r="X28" s="43" t="s">
        <v>150</v>
      </c>
      <c r="Y28" s="43">
        <v>45</v>
      </c>
      <c r="Z28" s="43"/>
      <c r="AA28" s="43"/>
      <c r="AB28" s="139">
        <f t="shared" si="1"/>
        <v>45</v>
      </c>
    </row>
    <row r="29" spans="2:28" ht="15" customHeight="1" thickBot="1">
      <c r="B29" s="189">
        <f>'[1]POOL-joueus'!$B$147</f>
        <v>34.413698630136984</v>
      </c>
      <c r="C29" s="189" t="str">
        <f>'[1]POOL-joueus'!$C$147</f>
        <v>Pit</v>
      </c>
      <c r="D29" s="190" t="str">
        <f>'[1]POOL-joueus'!$D$147</f>
        <v>Mirolav Satan</v>
      </c>
      <c r="E29" s="189">
        <v>61</v>
      </c>
      <c r="F29" s="189">
        <v>15</v>
      </c>
      <c r="G29" s="189">
        <v>18</v>
      </c>
      <c r="H29" s="187">
        <f t="shared" si="5"/>
        <v>33</v>
      </c>
      <c r="I29" s="188">
        <f t="shared" si="6"/>
        <v>0.5409836065573771</v>
      </c>
      <c r="J29" s="7"/>
      <c r="K29" s="7"/>
      <c r="L29" s="7"/>
      <c r="M29" s="8"/>
      <c r="U29" s="161"/>
      <c r="W29" s="49" t="s">
        <v>165</v>
      </c>
      <c r="X29" s="43" t="s">
        <v>149</v>
      </c>
      <c r="Y29" s="43">
        <v>27.8</v>
      </c>
      <c r="Z29" s="43"/>
      <c r="AA29" s="43"/>
      <c r="AB29" s="160"/>
    </row>
    <row r="30" spans="2:28" ht="15" customHeight="1">
      <c r="B30" s="107">
        <f>'[1]POOL-joueus'!$B$148</f>
        <v>36.88493150684931</v>
      </c>
      <c r="C30" s="107" t="str">
        <f>'[1]POOL-joueus'!$C$148</f>
        <v>Atl</v>
      </c>
      <c r="D30" s="124" t="str">
        <f>'[1]POOL-joueus'!$D$148</f>
        <v>Vyacheslav Kozlov</v>
      </c>
      <c r="E30" s="107">
        <f>('[1]POOL-joueus'!$E$148)-12</f>
        <v>56</v>
      </c>
      <c r="F30" s="107">
        <f>('[1]POOL-joueus'!$F$148)-10</f>
        <v>8</v>
      </c>
      <c r="G30" s="107">
        <f>('[1]POOL-joueus'!$G$148)-5</f>
        <v>35</v>
      </c>
      <c r="H30" s="44">
        <f t="shared" si="5"/>
        <v>43</v>
      </c>
      <c r="I30" s="45">
        <f t="shared" si="6"/>
        <v>0.7678571428571429</v>
      </c>
      <c r="J30" s="7"/>
      <c r="K30" s="7"/>
      <c r="L30" s="7"/>
      <c r="M30" s="8"/>
      <c r="N30" s="265" t="s">
        <v>60</v>
      </c>
      <c r="O30" s="266"/>
      <c r="P30" s="266"/>
      <c r="Q30" s="266"/>
      <c r="R30" s="267"/>
      <c r="U30" s="161"/>
      <c r="W30" s="159"/>
      <c r="X30" s="298" t="s">
        <v>81</v>
      </c>
      <c r="Y30" s="299"/>
      <c r="Z30" s="298" t="s">
        <v>158</v>
      </c>
      <c r="AA30" s="299"/>
      <c r="AB30" s="160"/>
    </row>
    <row r="31" spans="2:28" ht="15" customHeight="1" thickBot="1">
      <c r="B31" s="106">
        <f>'[1]POOL-joueus'!$B$84</f>
        <v>24.279452054794522</v>
      </c>
      <c r="C31" s="106" t="str">
        <f>'[1]POOL-joueus'!$C$84</f>
        <v>S.J.</v>
      </c>
      <c r="D31" s="126" t="str">
        <f>'[1]POOL-joueus'!$D$84</f>
        <v>Milan Michalek</v>
      </c>
      <c r="E31" s="106">
        <f>((('[1]POOL-joueus'!$E$84))-1)-4</f>
        <v>56</v>
      </c>
      <c r="F31" s="106">
        <f>((('[1]POOL-joueus'!$F$84)))-2</f>
        <v>16</v>
      </c>
      <c r="G31" s="106">
        <f>((('[1]POOL-joueus'!$G$84)))-1</f>
        <v>28</v>
      </c>
      <c r="H31" s="44">
        <f t="shared" si="5"/>
        <v>44</v>
      </c>
      <c r="I31" s="45">
        <f t="shared" si="6"/>
        <v>0.7857142857142857</v>
      </c>
      <c r="J31" s="7"/>
      <c r="K31" s="7"/>
      <c r="L31" s="7"/>
      <c r="M31" s="8"/>
      <c r="N31" s="16" t="s">
        <v>8</v>
      </c>
      <c r="O31" s="17" t="s">
        <v>9</v>
      </c>
      <c r="P31" s="17" t="s">
        <v>62</v>
      </c>
      <c r="Q31" s="18" t="s">
        <v>11</v>
      </c>
      <c r="R31" s="19" t="s">
        <v>68</v>
      </c>
      <c r="U31" s="161"/>
      <c r="W31" s="49" t="s">
        <v>167</v>
      </c>
      <c r="X31" s="259">
        <v>0</v>
      </c>
      <c r="Y31" s="260"/>
      <c r="Z31" s="259"/>
      <c r="AA31" s="260"/>
      <c r="AB31" s="140">
        <f>X31+Z31</f>
        <v>0</v>
      </c>
    </row>
    <row r="32" spans="2:28" ht="15" customHeight="1" thickTop="1">
      <c r="B32" s="109">
        <f>'[1]POOL-joueus'!$B$94</f>
        <v>24.12054794520548</v>
      </c>
      <c r="C32" s="109" t="str">
        <f>'[1]POOL-joueus'!$C$94</f>
        <v>Mtl</v>
      </c>
      <c r="D32" s="111" t="str">
        <f>'[1]POOL-joueus'!$D$94</f>
        <v>Andrei Kostitsyn</v>
      </c>
      <c r="E32" s="109">
        <f>(('[1]POOL-joueus'!$E$94))-1</f>
        <v>63</v>
      </c>
      <c r="F32" s="109">
        <f>(('[1]POOL-joueus'!$F$94))-3</f>
        <v>20</v>
      </c>
      <c r="G32" s="109">
        <f>(('[1]POOL-joueus'!$G$94))</f>
        <v>17</v>
      </c>
      <c r="H32" s="44">
        <f t="shared" si="5"/>
        <v>37</v>
      </c>
      <c r="I32" s="45">
        <f t="shared" si="6"/>
        <v>0.5873015873015873</v>
      </c>
      <c r="J32" s="7"/>
      <c r="K32" s="7"/>
      <c r="L32" s="7"/>
      <c r="M32" s="8"/>
      <c r="N32" s="20" t="s">
        <v>21</v>
      </c>
      <c r="O32" s="69"/>
      <c r="P32" s="22">
        <f>F40+F50+F65+F74</f>
        <v>330</v>
      </c>
      <c r="Q32" s="23">
        <f>P32/O34</f>
        <v>0.2490566037735849</v>
      </c>
      <c r="R32" s="22">
        <f>'[2]Individuel'!$D$47</f>
        <v>320.7</v>
      </c>
      <c r="U32" s="161"/>
      <c r="W32" s="49" t="s">
        <v>168</v>
      </c>
      <c r="X32" s="259">
        <v>3</v>
      </c>
      <c r="Y32" s="260"/>
      <c r="Z32" s="259">
        <v>4</v>
      </c>
      <c r="AA32" s="260"/>
      <c r="AB32" s="140">
        <f>X32+Z32</f>
        <v>7</v>
      </c>
    </row>
    <row r="33" spans="2:28" ht="15" customHeight="1">
      <c r="B33" s="183">
        <f>'[1]POOL-joueus'!$B$30</f>
        <v>30.175342465753424</v>
      </c>
      <c r="C33" s="183" t="str">
        <f>'[1]POOL-joueus'!$C$30</f>
        <v>Dal</v>
      </c>
      <c r="D33" s="184" t="str">
        <f>'[1]POOL-joueus'!$D$30</f>
        <v>Brenden Morrow</v>
      </c>
      <c r="E33" s="183">
        <v>18</v>
      </c>
      <c r="F33" s="183">
        <v>5</v>
      </c>
      <c r="G33" s="183">
        <v>10</v>
      </c>
      <c r="H33" s="187">
        <f t="shared" si="5"/>
        <v>15</v>
      </c>
      <c r="I33" s="188">
        <f t="shared" si="6"/>
        <v>0.8333333333333334</v>
      </c>
      <c r="J33" s="7"/>
      <c r="K33" s="7"/>
      <c r="L33" s="7"/>
      <c r="M33" s="8"/>
      <c r="N33" s="26" t="s">
        <v>30</v>
      </c>
      <c r="O33" s="69"/>
      <c r="P33" s="28">
        <f>G40+G50+G65+G74</f>
        <v>592</v>
      </c>
      <c r="Q33" s="29">
        <f>P33/O34</f>
        <v>0.4467924528301887</v>
      </c>
      <c r="R33" s="28">
        <f>'[2]Individuel'!$I$47</f>
        <v>539.3</v>
      </c>
      <c r="U33" s="161"/>
      <c r="W33" s="49" t="s">
        <v>89</v>
      </c>
      <c r="X33" s="259">
        <v>1</v>
      </c>
      <c r="Y33" s="260"/>
      <c r="Z33" s="259"/>
      <c r="AA33" s="260"/>
      <c r="AB33" s="140">
        <f>X33+Z33</f>
        <v>1</v>
      </c>
    </row>
    <row r="34" spans="2:28" ht="15" customHeight="1">
      <c r="B34" s="108">
        <f>'[1]POOL-joueus'!$B$126</f>
        <v>21.76164383561644</v>
      </c>
      <c r="C34" s="108" t="str">
        <f>'[1]POOL-joueus'!$C$126</f>
        <v>Edm</v>
      </c>
      <c r="D34" s="110" t="str">
        <f>'[1]POOL-joueus'!$D$126</f>
        <v>Andrew Cogliano</v>
      </c>
      <c r="E34" s="108">
        <f>((('[1]POOL-joueus'!$E$126)-1)-58)-4</f>
        <v>4</v>
      </c>
      <c r="F34" s="108">
        <f>((('[1]POOL-joueus'!$F$126))-13)-2</f>
        <v>1</v>
      </c>
      <c r="G34" s="108">
        <f>((('[1]POOL-joueus'!$G$126)-2)-14)-1</f>
        <v>1</v>
      </c>
      <c r="H34" s="44">
        <f>SUM(F34:G34)</f>
        <v>2</v>
      </c>
      <c r="I34" s="45">
        <f>H34/E34</f>
        <v>0.5</v>
      </c>
      <c r="J34" s="7"/>
      <c r="K34" s="7"/>
      <c r="L34" s="7"/>
      <c r="M34" s="8"/>
      <c r="N34" s="26" t="s">
        <v>55</v>
      </c>
      <c r="O34" s="27">
        <f>E40+E50+E65+E74</f>
        <v>1325</v>
      </c>
      <c r="P34" s="28">
        <f>SUM(P32:P33)</f>
        <v>922</v>
      </c>
      <c r="Q34" s="29">
        <f>P34/O34</f>
        <v>0.6958490566037736</v>
      </c>
      <c r="R34" s="28">
        <f>'[2]Individuel'!$N$47</f>
        <v>860</v>
      </c>
      <c r="U34" s="161"/>
      <c r="W34" s="49" t="s">
        <v>194</v>
      </c>
      <c r="X34" s="259">
        <v>0</v>
      </c>
      <c r="Y34" s="260"/>
      <c r="Z34" s="259"/>
      <c r="AA34" s="260"/>
      <c r="AB34" s="140">
        <f>X34+Z34</f>
        <v>0</v>
      </c>
    </row>
    <row r="35" spans="2:28" ht="15" customHeight="1">
      <c r="B35" s="109">
        <f>'[1]POOL-joueus'!$B$96</f>
        <v>24.126027397260273</v>
      </c>
      <c r="C35" s="109" t="str">
        <f>'[1]POOL-joueus'!$C$96</f>
        <v>Edm</v>
      </c>
      <c r="D35" s="111" t="str">
        <f>'[1]POOL-joueus'!$D$96</f>
        <v>Patrick O'Sullivan</v>
      </c>
      <c r="E35" s="109">
        <f>((('[1]POOL-joueus'!$E$96)-2)-14)-33</f>
        <v>17</v>
      </c>
      <c r="F35" s="109">
        <f>((('[1]POOL-joueus'!$F$96)-1)-2)-10</f>
        <v>2</v>
      </c>
      <c r="G35" s="109">
        <f>((('[1]POOL-joueus'!$G$96)-0)-4)-15</f>
        <v>5</v>
      </c>
      <c r="H35" s="44">
        <f t="shared" si="5"/>
        <v>7</v>
      </c>
      <c r="I35" s="45">
        <f t="shared" si="6"/>
        <v>0.4117647058823529</v>
      </c>
      <c r="J35" s="7"/>
      <c r="K35" s="7"/>
      <c r="L35" s="7"/>
      <c r="M35" s="8"/>
      <c r="N35" s="26" t="s">
        <v>56</v>
      </c>
      <c r="O35" s="67"/>
      <c r="P35" s="63"/>
      <c r="Q35" s="68"/>
      <c r="R35" s="29">
        <f>'[2]Individuel'!$D$61</f>
        <v>0.6703402518874818</v>
      </c>
      <c r="U35" s="161"/>
      <c r="W35" s="49" t="s">
        <v>132</v>
      </c>
      <c r="X35" s="268">
        <v>10</v>
      </c>
      <c r="Y35" s="269"/>
      <c r="Z35" s="268"/>
      <c r="AA35" s="269"/>
      <c r="AB35" s="157">
        <f>X35+Z35</f>
        <v>10</v>
      </c>
    </row>
    <row r="36" spans="2:21" ht="15" customHeight="1">
      <c r="B36" s="185">
        <f>'[1]POOL-joueus'!$B$259</f>
        <v>20.778082191780822</v>
      </c>
      <c r="C36" s="185" t="str">
        <f>'[1]POOL-joueus'!$C$259</f>
        <v>Bos</v>
      </c>
      <c r="D36" s="186" t="str">
        <f>'[1]POOL-joueus'!$D$259</f>
        <v>Milan Lucic</v>
      </c>
      <c r="E36" s="189">
        <v>4</v>
      </c>
      <c r="F36" s="189">
        <v>0</v>
      </c>
      <c r="G36" s="189">
        <v>1</v>
      </c>
      <c r="H36" s="187">
        <f t="shared" si="5"/>
        <v>1</v>
      </c>
      <c r="I36" s="188">
        <f t="shared" si="6"/>
        <v>0.25</v>
      </c>
      <c r="J36" s="7"/>
      <c r="K36" s="7"/>
      <c r="L36" s="7"/>
      <c r="M36" s="8"/>
      <c r="N36" s="26" t="s">
        <v>57</v>
      </c>
      <c r="O36" s="27">
        <f>E21</f>
        <v>103</v>
      </c>
      <c r="P36" s="28">
        <f>F21</f>
        <v>57</v>
      </c>
      <c r="Q36" s="29">
        <f>P36/O36</f>
        <v>0.5533980582524272</v>
      </c>
      <c r="R36" s="28">
        <f>'[2]Individuel'!$D$75</f>
        <v>59.9</v>
      </c>
      <c r="U36" s="161"/>
    </row>
    <row r="37" spans="2:29" ht="15" customHeight="1">
      <c r="B37" s="183">
        <f>'[1]POOL-joueus'!$B$200</f>
        <v>24.926027397260274</v>
      </c>
      <c r="C37" s="183" t="str">
        <f>'[1]POOL-joueus'!$C$200</f>
        <v>Buf</v>
      </c>
      <c r="D37" s="184" t="str">
        <f>'[1]POOL-joueus'!$D$200</f>
        <v>Dan Paille</v>
      </c>
      <c r="E37" s="183">
        <v>1</v>
      </c>
      <c r="F37" s="183">
        <v>0</v>
      </c>
      <c r="G37" s="183">
        <v>0</v>
      </c>
      <c r="H37" s="187">
        <f t="shared" si="5"/>
        <v>0</v>
      </c>
      <c r="I37" s="188">
        <f t="shared" si="6"/>
        <v>0</v>
      </c>
      <c r="J37" s="7"/>
      <c r="K37" s="7"/>
      <c r="L37" s="7"/>
      <c r="M37" s="8"/>
      <c r="N37" s="34" t="s">
        <v>58</v>
      </c>
      <c r="O37" s="27">
        <f>E21</f>
        <v>103</v>
      </c>
      <c r="P37" s="28">
        <f>H21</f>
        <v>6</v>
      </c>
      <c r="Q37" s="29">
        <f>P37/O37</f>
        <v>0.05825242718446602</v>
      </c>
      <c r="R37" s="28">
        <f>'[2]Individuel'!$I$75</f>
        <v>7.1</v>
      </c>
      <c r="U37" s="161"/>
      <c r="V37" s="161"/>
      <c r="W37" s="161"/>
      <c r="X37" s="161"/>
      <c r="Y37" s="161"/>
      <c r="Z37" s="161"/>
      <c r="AA37" s="161"/>
      <c r="AB37" s="161"/>
      <c r="AC37" s="161"/>
    </row>
    <row r="38" spans="2:21" ht="15" customHeight="1">
      <c r="B38" s="183">
        <f>'[1]POOL-joueus'!$B$211</f>
        <v>30.16986301369863</v>
      </c>
      <c r="C38" s="183" t="str">
        <f>'[1]POOL-joueus'!$C$211</f>
        <v>Pit</v>
      </c>
      <c r="D38" s="184" t="str">
        <f>'[1]POOL-joueus'!$D$211</f>
        <v>Ruslan Fedotenko</v>
      </c>
      <c r="E38" s="183">
        <v>8</v>
      </c>
      <c r="F38" s="183">
        <v>1</v>
      </c>
      <c r="G38" s="183">
        <v>1</v>
      </c>
      <c r="H38" s="187">
        <f t="shared" si="5"/>
        <v>2</v>
      </c>
      <c r="I38" s="188">
        <f t="shared" si="6"/>
        <v>0.25</v>
      </c>
      <c r="J38" s="7"/>
      <c r="K38" s="7"/>
      <c r="L38" s="7"/>
      <c r="M38" s="8"/>
      <c r="N38" s="26" t="s">
        <v>59</v>
      </c>
      <c r="O38" s="27">
        <f>E21</f>
        <v>103</v>
      </c>
      <c r="P38" s="28">
        <f>G21</f>
        <v>14</v>
      </c>
      <c r="Q38" s="29">
        <f>P38/O38</f>
        <v>0.13592233009708737</v>
      </c>
      <c r="R38" s="28">
        <f>'[2]Individuel'!$N$75</f>
        <v>13.6</v>
      </c>
      <c r="U38" s="161"/>
    </row>
    <row r="39" spans="2:21" ht="15" customHeight="1" thickBot="1">
      <c r="B39" s="107"/>
      <c r="C39" s="107"/>
      <c r="D39" s="124"/>
      <c r="E39" s="123"/>
      <c r="F39" s="123"/>
      <c r="G39" s="123"/>
      <c r="H39" s="37">
        <f t="shared" si="5"/>
        <v>0</v>
      </c>
      <c r="I39" s="46" t="e">
        <f t="shared" si="6"/>
        <v>#DIV/0!</v>
      </c>
      <c r="J39" s="7"/>
      <c r="K39" s="7"/>
      <c r="L39" s="7"/>
      <c r="M39" s="8"/>
      <c r="N39" s="26" t="s">
        <v>38</v>
      </c>
      <c r="O39" s="70">
        <f>(B16+B19+B25+B26+B32+B35+B36+B27+B28+B38+B44+B45+B54+B55+B46+B47+B56+B57+B58+B60+B69+B72+B85+B86+B96+B101+B102+B100+B108+B114+B115+B118+B124+B126+B130+B141+B145+B147)/39</f>
        <v>27.797822269055157</v>
      </c>
      <c r="P39" s="61"/>
      <c r="Q39" s="62"/>
      <c r="R39" s="63"/>
      <c r="U39" s="161"/>
    </row>
    <row r="40" spans="2:28" ht="15" customHeight="1">
      <c r="B40" s="274" t="s">
        <v>26</v>
      </c>
      <c r="C40" s="275"/>
      <c r="D40" s="255"/>
      <c r="E40" s="14">
        <f>SUM(E25:E39)</f>
        <v>539</v>
      </c>
      <c r="F40" s="14">
        <f>SUM(F25:F39)</f>
        <v>168</v>
      </c>
      <c r="G40" s="14">
        <f>SUM(G25:G39)</f>
        <v>230</v>
      </c>
      <c r="H40" s="33">
        <f t="shared" si="5"/>
        <v>398</v>
      </c>
      <c r="I40" s="50">
        <f t="shared" si="6"/>
        <v>0.738404452690167</v>
      </c>
      <c r="J40" s="7"/>
      <c r="K40" s="7"/>
      <c r="L40" s="7"/>
      <c r="M40" s="8"/>
      <c r="N40" s="34" t="s">
        <v>39</v>
      </c>
      <c r="O40" s="70"/>
      <c r="P40" s="61"/>
      <c r="Q40" s="62"/>
      <c r="R40" s="63"/>
      <c r="U40" s="161"/>
      <c r="W40" s="265" t="s">
        <v>162</v>
      </c>
      <c r="X40" s="266"/>
      <c r="Y40" s="266"/>
      <c r="Z40" s="266"/>
      <c r="AA40" s="266"/>
      <c r="AB40" s="267"/>
    </row>
    <row r="41" spans="2:28" ht="15" customHeight="1" thickBo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8"/>
      <c r="N41" s="26" t="s">
        <v>40</v>
      </c>
      <c r="O41" s="70">
        <f>(B16+B19+B25+B26+B32+B35+B36+B27+B28+B38+B44+B45+B54+B55+B46+B47+B56+B57+B58+B60+B69+B72)/22</f>
        <v>29.161021170610216</v>
      </c>
      <c r="P41" s="59"/>
      <c r="Q41" s="60"/>
      <c r="R41" s="125" t="e">
        <f>'[2]Individuel'!$N$61</f>
        <v>#REF!</v>
      </c>
      <c r="U41" s="161"/>
      <c r="W41" s="65" t="s">
        <v>8</v>
      </c>
      <c r="X41" s="66" t="s">
        <v>9</v>
      </c>
      <c r="Y41" s="66" t="s">
        <v>10</v>
      </c>
      <c r="Z41" s="65" t="s">
        <v>11</v>
      </c>
      <c r="AA41" s="65" t="s">
        <v>68</v>
      </c>
      <c r="AB41" s="65" t="s">
        <v>41</v>
      </c>
    </row>
    <row r="42" spans="2:28" ht="15" customHeight="1" thickBot="1" thickTop="1">
      <c r="B42" s="256" t="s">
        <v>24</v>
      </c>
      <c r="C42" s="257"/>
      <c r="D42" s="257"/>
      <c r="E42" s="257"/>
      <c r="F42" s="257"/>
      <c r="G42" s="257"/>
      <c r="H42" s="257"/>
      <c r="I42" s="258"/>
      <c r="J42" s="7"/>
      <c r="K42" s="7"/>
      <c r="L42" s="7"/>
      <c r="M42" s="8"/>
      <c r="U42" s="161"/>
      <c r="W42" s="48" t="s">
        <v>42</v>
      </c>
      <c r="X42" s="21">
        <v>266</v>
      </c>
      <c r="Y42" s="22">
        <v>187</v>
      </c>
      <c r="Z42" s="23">
        <v>0.7030075187969925</v>
      </c>
      <c r="AA42" s="22">
        <v>191.9</v>
      </c>
      <c r="AB42" s="22" t="s">
        <v>149</v>
      </c>
    </row>
    <row r="43" spans="2:28" ht="15" customHeight="1" thickBot="1">
      <c r="B43" s="30" t="s">
        <v>15</v>
      </c>
      <c r="C43" s="30" t="s">
        <v>29</v>
      </c>
      <c r="D43" s="30" t="s">
        <v>17</v>
      </c>
      <c r="E43" s="31" t="s">
        <v>2</v>
      </c>
      <c r="F43" s="31" t="s">
        <v>21</v>
      </c>
      <c r="G43" s="31" t="s">
        <v>30</v>
      </c>
      <c r="H43" s="32" t="s">
        <v>6</v>
      </c>
      <c r="I43" s="31" t="s">
        <v>11</v>
      </c>
      <c r="J43" s="7"/>
      <c r="K43" s="7"/>
      <c r="L43" s="7"/>
      <c r="M43" s="8"/>
      <c r="N43" s="265" t="s">
        <v>61</v>
      </c>
      <c r="O43" s="266"/>
      <c r="P43" s="266"/>
      <c r="Q43" s="266"/>
      <c r="R43" s="266"/>
      <c r="S43" s="267"/>
      <c r="T43" s="53"/>
      <c r="U43" s="161"/>
      <c r="W43" s="49" t="s">
        <v>43</v>
      </c>
      <c r="X43" s="21">
        <v>279</v>
      </c>
      <c r="Y43" s="22">
        <v>221</v>
      </c>
      <c r="Z43" s="23">
        <v>0.7921146953405018</v>
      </c>
      <c r="AA43" s="22">
        <v>207.1</v>
      </c>
      <c r="AB43" s="28" t="s">
        <v>147</v>
      </c>
    </row>
    <row r="44" spans="2:28" ht="15" customHeight="1" thickBot="1" thickTop="1">
      <c r="B44" s="107">
        <f>'[1]POOL-joueus'!$B$9</f>
        <v>29.71780821917808</v>
      </c>
      <c r="C44" s="107" t="str">
        <f>'[1]POOL-joueus'!$C$9</f>
        <v>S.J.</v>
      </c>
      <c r="D44" s="124" t="str">
        <f>'[1]POOL-joueus'!$D$9</f>
        <v>Joe Thornton</v>
      </c>
      <c r="E44" s="107">
        <f>'[1]POOL-joueus'!$E$9</f>
        <v>66</v>
      </c>
      <c r="F44" s="107">
        <f>'[1]POOL-joueus'!$F$9</f>
        <v>20</v>
      </c>
      <c r="G44" s="107">
        <f>'[1]POOL-joueus'!$G$9</f>
        <v>54</v>
      </c>
      <c r="H44" s="44">
        <f aca="true" t="shared" si="7" ref="H44:H50">SUM(F44:G44)</f>
        <v>74</v>
      </c>
      <c r="I44" s="45">
        <f aca="true" t="shared" si="8" ref="I44:I50">H44/E44</f>
        <v>1.121212121212121</v>
      </c>
      <c r="J44" s="7"/>
      <c r="K44" s="7"/>
      <c r="L44" s="7"/>
      <c r="M44" s="8"/>
      <c r="N44" s="65" t="s">
        <v>8</v>
      </c>
      <c r="O44" s="66" t="s">
        <v>9</v>
      </c>
      <c r="P44" s="66" t="s">
        <v>10</v>
      </c>
      <c r="Q44" s="65" t="s">
        <v>11</v>
      </c>
      <c r="R44" s="65" t="s">
        <v>68</v>
      </c>
      <c r="S44" s="65" t="s">
        <v>41</v>
      </c>
      <c r="T44" s="164"/>
      <c r="U44" s="161"/>
      <c r="W44" s="49" t="s">
        <v>44</v>
      </c>
      <c r="X44" s="21">
        <v>295</v>
      </c>
      <c r="Y44" s="22">
        <v>220</v>
      </c>
      <c r="Z44" s="23">
        <v>0.7457627118644068</v>
      </c>
      <c r="AA44" s="22">
        <v>226.7</v>
      </c>
      <c r="AB44" s="28" t="s">
        <v>149</v>
      </c>
    </row>
    <row r="45" spans="2:28" ht="15" customHeight="1" thickTop="1">
      <c r="B45" s="107">
        <f>'[1]POOL-joueus'!$B$119</f>
        <v>26.78082191780822</v>
      </c>
      <c r="C45" s="107" t="str">
        <f>'[1]POOL-joueus'!$C$119</f>
        <v>Cgy</v>
      </c>
      <c r="D45" s="124" t="str">
        <f>'[1]POOL-joueus'!$D$119</f>
        <v>Mike Cammelleri</v>
      </c>
      <c r="E45" s="107">
        <f>'[1]POOL-joueus'!$E$119</f>
        <v>67</v>
      </c>
      <c r="F45" s="107">
        <f>'[1]POOL-joueus'!$F$119</f>
        <v>34</v>
      </c>
      <c r="G45" s="107">
        <f>'[1]POOL-joueus'!$G$119</f>
        <v>36</v>
      </c>
      <c r="H45" s="44">
        <f t="shared" si="7"/>
        <v>70</v>
      </c>
      <c r="I45" s="45">
        <f t="shared" si="8"/>
        <v>1.044776119402985</v>
      </c>
      <c r="J45" s="7"/>
      <c r="K45" s="7"/>
      <c r="L45" s="7"/>
      <c r="M45" s="8"/>
      <c r="N45" s="48" t="s">
        <v>233</v>
      </c>
      <c r="O45" s="21">
        <v>237</v>
      </c>
      <c r="P45" s="22">
        <v>192</v>
      </c>
      <c r="Q45" s="23">
        <f>P45/O45</f>
        <v>0.810126582278481</v>
      </c>
      <c r="R45" s="22">
        <v>169.2</v>
      </c>
      <c r="S45" s="22" t="s">
        <v>146</v>
      </c>
      <c r="T45" s="53"/>
      <c r="U45" s="161"/>
      <c r="W45" s="49" t="s">
        <v>45</v>
      </c>
      <c r="X45" s="21">
        <v>278</v>
      </c>
      <c r="Y45" s="22">
        <v>193</v>
      </c>
      <c r="Z45" s="23">
        <v>0.6942446043165468</v>
      </c>
      <c r="AA45" s="22">
        <v>201.4</v>
      </c>
      <c r="AB45" s="28" t="s">
        <v>152</v>
      </c>
    </row>
    <row r="46" spans="2:28" ht="15" customHeight="1">
      <c r="B46" s="185">
        <f>'[1]POOL-joueus'!$B$103</f>
        <v>38.61917808219178</v>
      </c>
      <c r="C46" s="185" t="str">
        <f>'[1]POOL-joueus'!$C$103</f>
        <v>Car</v>
      </c>
      <c r="D46" s="186" t="str">
        <f>'[1]POOL-joueus'!$D$103</f>
        <v>Rob Brind'Amour</v>
      </c>
      <c r="E46" s="185">
        <v>42</v>
      </c>
      <c r="F46" s="185">
        <v>6</v>
      </c>
      <c r="G46" s="185">
        <v>18</v>
      </c>
      <c r="H46" s="187">
        <f t="shared" si="7"/>
        <v>24</v>
      </c>
      <c r="I46" s="188">
        <f t="shared" si="8"/>
        <v>0.5714285714285714</v>
      </c>
      <c r="J46" s="7"/>
      <c r="K46" s="7"/>
      <c r="L46" s="7"/>
      <c r="M46" s="8"/>
      <c r="N46" s="49" t="s">
        <v>175</v>
      </c>
      <c r="O46" s="21">
        <v>286</v>
      </c>
      <c r="P46" s="22">
        <v>264</v>
      </c>
      <c r="Q46" s="23">
        <f>P46/O46</f>
        <v>0.9230769230769231</v>
      </c>
      <c r="R46" s="22">
        <v>220.7</v>
      </c>
      <c r="S46" s="28" t="s">
        <v>155</v>
      </c>
      <c r="T46" s="53"/>
      <c r="U46" s="161"/>
      <c r="W46" s="49" t="s">
        <v>46</v>
      </c>
      <c r="X46" s="21">
        <v>293</v>
      </c>
      <c r="Y46" s="22">
        <v>191</v>
      </c>
      <c r="Z46" s="23">
        <v>0.6518771331058021</v>
      </c>
      <c r="AA46" s="22">
        <v>207.9</v>
      </c>
      <c r="AB46" s="28" t="s">
        <v>154</v>
      </c>
    </row>
    <row r="47" spans="2:28" ht="15" customHeight="1">
      <c r="B47" s="180">
        <f>'[1]POOL-joueus'!$B$169</f>
        <v>36.465753424657535</v>
      </c>
      <c r="C47" s="180" t="str">
        <f>'[1]POOL-joueus'!$C$169</f>
        <v>Wsh</v>
      </c>
      <c r="D47" s="181" t="str">
        <f>'[1]POOL-joueus'!$D$169</f>
        <v>Michael Nylander</v>
      </c>
      <c r="E47" s="183">
        <v>16</v>
      </c>
      <c r="F47" s="183">
        <v>2</v>
      </c>
      <c r="G47" s="183">
        <v>7</v>
      </c>
      <c r="H47" s="187">
        <f t="shared" si="7"/>
        <v>9</v>
      </c>
      <c r="I47" s="188">
        <f t="shared" si="8"/>
        <v>0.5625</v>
      </c>
      <c r="J47" s="7"/>
      <c r="K47" s="7"/>
      <c r="L47" s="7"/>
      <c r="M47" s="8"/>
      <c r="N47" s="49" t="s">
        <v>176</v>
      </c>
      <c r="O47" s="21">
        <v>298</v>
      </c>
      <c r="P47" s="22">
        <v>246</v>
      </c>
      <c r="Q47" s="23">
        <f>P47/O47</f>
        <v>0.825503355704698</v>
      </c>
      <c r="R47" s="22">
        <v>236.9</v>
      </c>
      <c r="S47" s="28" t="s">
        <v>148</v>
      </c>
      <c r="T47" s="53"/>
      <c r="U47" s="161"/>
      <c r="W47" s="49" t="s">
        <v>47</v>
      </c>
      <c r="X47" s="21">
        <v>310</v>
      </c>
      <c r="Y47" s="22">
        <v>254</v>
      </c>
      <c r="Z47" s="23">
        <v>0.8193548387096774</v>
      </c>
      <c r="AA47" s="22">
        <v>223.7</v>
      </c>
      <c r="AB47" s="28" t="s">
        <v>146</v>
      </c>
    </row>
    <row r="48" spans="2:28" ht="15" customHeight="1">
      <c r="B48" s="109">
        <f>'[1]POOL-joueus'!$B$208</f>
        <v>23.84931506849315</v>
      </c>
      <c r="C48" s="109" t="str">
        <f>'[1]POOL-joueus'!$C$208</f>
        <v>N.J.</v>
      </c>
      <c r="D48" s="111" t="str">
        <f>'[1]POOL-joueus'!$D$208</f>
        <v>Travis Zajac</v>
      </c>
      <c r="E48" s="109">
        <f>('[1]POOL-joueus'!$E$208)-43</f>
        <v>24</v>
      </c>
      <c r="F48" s="109">
        <f>('[1]POOL-joueus'!$F$208)-12</f>
        <v>7</v>
      </c>
      <c r="G48" s="109">
        <f>('[1]POOL-joueus'!$G$208)-21</f>
        <v>15</v>
      </c>
      <c r="H48" s="44">
        <f>SUM(F48:G48)</f>
        <v>22</v>
      </c>
      <c r="I48" s="45">
        <f>H48/E48</f>
        <v>0.9166666666666666</v>
      </c>
      <c r="J48" s="7"/>
      <c r="K48" s="7"/>
      <c r="L48" s="7"/>
      <c r="M48" s="8"/>
      <c r="N48" s="49" t="s">
        <v>177</v>
      </c>
      <c r="O48" s="21">
        <v>274</v>
      </c>
      <c r="P48" s="22">
        <v>236</v>
      </c>
      <c r="Q48" s="23">
        <f>P48/O48</f>
        <v>0.8613138686131386</v>
      </c>
      <c r="R48" s="241">
        <v>209</v>
      </c>
      <c r="S48" s="28" t="s">
        <v>147</v>
      </c>
      <c r="T48" s="53"/>
      <c r="U48" s="161"/>
      <c r="W48" s="49" t="s">
        <v>48</v>
      </c>
      <c r="X48" s="21">
        <v>76</v>
      </c>
      <c r="Y48" s="22">
        <v>43</v>
      </c>
      <c r="Z48" s="23">
        <v>0.5657894736842105</v>
      </c>
      <c r="AA48" s="22">
        <v>42.1</v>
      </c>
      <c r="AB48" s="28" t="s">
        <v>151</v>
      </c>
    </row>
    <row r="49" spans="2:21" ht="15" customHeight="1" thickBot="1">
      <c r="B49" s="109">
        <f>'[1]POOL-joueus'!$B$159</f>
        <v>24.687671232876713</v>
      </c>
      <c r="C49" s="109" t="str">
        <f>'[1]POOL-joueus'!$C$159</f>
        <v>S.J.</v>
      </c>
      <c r="D49" s="111" t="str">
        <f>'[1]POOL-joueus'!$D$159</f>
        <v>Joe Pavelski</v>
      </c>
      <c r="E49" s="113">
        <f>('[1]POOL-joueus'!$E$159)-16</f>
        <v>48</v>
      </c>
      <c r="F49" s="113">
        <f>('[1]POOL-joueus'!$F$159)-6</f>
        <v>14</v>
      </c>
      <c r="G49" s="113">
        <f>('[1]POOL-joueus'!$G$159)-8</f>
        <v>19</v>
      </c>
      <c r="H49" s="37">
        <f t="shared" si="7"/>
        <v>33</v>
      </c>
      <c r="I49" s="46">
        <f t="shared" si="8"/>
        <v>0.6875</v>
      </c>
      <c r="J49" s="7"/>
      <c r="K49" s="7"/>
      <c r="L49" s="7"/>
      <c r="M49" s="8"/>
      <c r="N49" s="49" t="s">
        <v>178</v>
      </c>
      <c r="O49" s="21"/>
      <c r="P49" s="22"/>
      <c r="Q49" s="23"/>
      <c r="R49" s="22"/>
      <c r="S49" s="28"/>
      <c r="T49" s="53"/>
      <c r="U49" s="161"/>
    </row>
    <row r="50" spans="2:21" ht="15" customHeight="1">
      <c r="B50" s="274" t="s">
        <v>26</v>
      </c>
      <c r="C50" s="275"/>
      <c r="D50" s="255"/>
      <c r="E50" s="14">
        <f>SUM(E44:E49)</f>
        <v>263</v>
      </c>
      <c r="F50" s="14">
        <f>SUM(F44:F49)</f>
        <v>83</v>
      </c>
      <c r="G50" s="14">
        <f>SUM(G44:G49)</f>
        <v>149</v>
      </c>
      <c r="H50" s="33">
        <f t="shared" si="7"/>
        <v>232</v>
      </c>
      <c r="I50" s="50">
        <f t="shared" si="8"/>
        <v>0.8821292775665399</v>
      </c>
      <c r="J50" s="7"/>
      <c r="K50" s="7"/>
      <c r="L50" s="7"/>
      <c r="M50" s="8"/>
      <c r="N50" s="49" t="s">
        <v>180</v>
      </c>
      <c r="O50" s="21"/>
      <c r="P50" s="22"/>
      <c r="Q50" s="23"/>
      <c r="R50" s="22"/>
      <c r="S50" s="28"/>
      <c r="T50" s="53"/>
      <c r="U50" s="161"/>
    </row>
    <row r="51" spans="2:21" ht="1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8"/>
      <c r="N51" s="49" t="s">
        <v>179</v>
      </c>
      <c r="O51" s="21"/>
      <c r="P51" s="22"/>
      <c r="Q51" s="23"/>
      <c r="R51" s="22"/>
      <c r="S51" s="28"/>
      <c r="T51" s="53"/>
      <c r="U51" s="161"/>
    </row>
    <row r="52" spans="2:21" ht="15" customHeight="1" thickBot="1">
      <c r="B52" s="256" t="s">
        <v>25</v>
      </c>
      <c r="C52" s="257"/>
      <c r="D52" s="257"/>
      <c r="E52" s="257"/>
      <c r="F52" s="257"/>
      <c r="G52" s="257"/>
      <c r="H52" s="257"/>
      <c r="I52" s="258"/>
      <c r="J52" s="7"/>
      <c r="K52" s="7"/>
      <c r="L52" s="7"/>
      <c r="M52" s="8"/>
      <c r="U52" s="161"/>
    </row>
    <row r="53" spans="2:29" ht="15" customHeight="1" thickBot="1">
      <c r="B53" s="30" t="s">
        <v>15</v>
      </c>
      <c r="C53" s="30" t="s">
        <v>29</v>
      </c>
      <c r="D53" s="30" t="s">
        <v>17</v>
      </c>
      <c r="E53" s="31" t="s">
        <v>2</v>
      </c>
      <c r="F53" s="31" t="s">
        <v>21</v>
      </c>
      <c r="G53" s="31" t="s">
        <v>30</v>
      </c>
      <c r="H53" s="32" t="s">
        <v>6</v>
      </c>
      <c r="I53" s="31" t="s">
        <v>11</v>
      </c>
      <c r="J53" s="7"/>
      <c r="K53" s="7"/>
      <c r="L53" s="7"/>
      <c r="M53" s="8"/>
      <c r="N53" s="1" t="s">
        <v>69</v>
      </c>
      <c r="U53" s="161"/>
      <c r="V53" s="161"/>
      <c r="W53" s="161"/>
      <c r="X53" s="161"/>
      <c r="Y53" s="161"/>
      <c r="Z53" s="161"/>
      <c r="AA53" s="161"/>
      <c r="AB53" s="161"/>
      <c r="AC53" s="161"/>
    </row>
    <row r="54" spans="2:21" ht="15" customHeight="1" thickTop="1">
      <c r="B54" s="107">
        <f>'[1]POOL-joueus'!$B$317</f>
        <v>23.594520547945205</v>
      </c>
      <c r="C54" s="107" t="str">
        <f>'[1]POOL-joueus'!$C$317</f>
        <v>Nsh</v>
      </c>
      <c r="D54" s="124" t="str">
        <f>'[1]POOL-joueus'!$D$317</f>
        <v>Shea Weber</v>
      </c>
      <c r="E54" s="107">
        <f>('[1]POOL-joueus'!$E$317)-2</f>
        <v>65</v>
      </c>
      <c r="F54" s="107">
        <f>('[1]POOL-joueus'!$F$317)-1</f>
        <v>17</v>
      </c>
      <c r="G54" s="107">
        <f>('[1]POOL-joueus'!$G$317)</f>
        <v>24</v>
      </c>
      <c r="H54" s="44">
        <f aca="true" t="shared" si="9" ref="H54:H65">SUM(F54:G54)</f>
        <v>41</v>
      </c>
      <c r="I54" s="45">
        <f aca="true" t="shared" si="10" ref="I54:I65">H54/E54</f>
        <v>0.6307692307692307</v>
      </c>
      <c r="J54" s="7"/>
      <c r="K54" s="7"/>
      <c r="L54" s="7"/>
      <c r="M54" s="8"/>
      <c r="N54" s="1" t="s">
        <v>67</v>
      </c>
      <c r="U54" s="161"/>
    </row>
    <row r="55" spans="2:29" ht="15" customHeight="1">
      <c r="B55" s="107">
        <f>'[1]POOL-joueus'!$B$133</f>
        <v>34.446575342465756</v>
      </c>
      <c r="C55" s="107" t="str">
        <f>'[1]POOL-joueus'!$C$133</f>
        <v>Ana</v>
      </c>
      <c r="D55" s="124" t="str">
        <f>'[1]POOL-joueus'!$D$133</f>
        <v>Chris Pronger</v>
      </c>
      <c r="E55" s="107">
        <f>'[1]POOL-joueus'!$E$133</f>
        <v>68</v>
      </c>
      <c r="F55" s="107">
        <f>'[1]POOL-joueus'!$F$133</f>
        <v>10</v>
      </c>
      <c r="G55" s="107">
        <f>'[1]POOL-joueus'!$G$133</f>
        <v>30</v>
      </c>
      <c r="H55" s="44">
        <f t="shared" si="9"/>
        <v>40</v>
      </c>
      <c r="I55" s="45">
        <f t="shared" si="10"/>
        <v>0.5882352941176471</v>
      </c>
      <c r="J55" s="7"/>
      <c r="K55" s="7"/>
      <c r="L55" s="7"/>
      <c r="M55" s="2"/>
      <c r="U55" s="161"/>
      <c r="W55" s="250" t="s">
        <v>119</v>
      </c>
      <c r="X55" s="250"/>
      <c r="Y55" s="250"/>
      <c r="Z55" s="250"/>
      <c r="AA55" s="250"/>
      <c r="AB55" s="250"/>
      <c r="AC55" s="250"/>
    </row>
    <row r="56" spans="2:21" ht="15" customHeight="1">
      <c r="B56" s="107">
        <f>'[1]POOL-joueus'!$B$194</f>
        <v>28.183561643835617</v>
      </c>
      <c r="C56" s="107" t="str">
        <f>'[1]POOL-joueus'!$C$194</f>
        <v>Det</v>
      </c>
      <c r="D56" s="124" t="str">
        <f>'[1]POOL-joueus'!$D$194</f>
        <v>Niklas Kronvall</v>
      </c>
      <c r="E56" s="107">
        <f>'[1]POOL-joueus'!$E$194</f>
        <v>66</v>
      </c>
      <c r="F56" s="107">
        <f>'[1]POOL-joueus'!$F$194</f>
        <v>3</v>
      </c>
      <c r="G56" s="107">
        <f>'[1]POOL-joueus'!$G$194</f>
        <v>38</v>
      </c>
      <c r="H56" s="44">
        <f t="shared" si="9"/>
        <v>41</v>
      </c>
      <c r="I56" s="45">
        <f t="shared" si="10"/>
        <v>0.6212121212121212</v>
      </c>
      <c r="J56" s="7"/>
      <c r="K56" s="7"/>
      <c r="L56" s="7"/>
      <c r="M56" s="2"/>
      <c r="U56" s="161"/>
    </row>
    <row r="57" spans="2:29" ht="15" customHeight="1">
      <c r="B57" s="185">
        <f>'[1]POOL-joueus'!$B$149</f>
        <v>32.608219178082194</v>
      </c>
      <c r="C57" s="185" t="str">
        <f>'[1]POOL-joueus'!$C$149</f>
        <v>Edm</v>
      </c>
      <c r="D57" s="186" t="str">
        <f>'[1]POOL-joueus'!$D$149</f>
        <v>Lubomir Visnovsky</v>
      </c>
      <c r="E57" s="185">
        <v>50</v>
      </c>
      <c r="F57" s="185">
        <v>8</v>
      </c>
      <c r="G57" s="185">
        <v>23</v>
      </c>
      <c r="H57" s="187">
        <f t="shared" si="9"/>
        <v>31</v>
      </c>
      <c r="I57" s="188">
        <f t="shared" si="10"/>
        <v>0.62</v>
      </c>
      <c r="J57" s="7"/>
      <c r="K57" s="7"/>
      <c r="L57" s="7"/>
      <c r="M57" s="2"/>
      <c r="U57" s="161"/>
      <c r="W57" s="259" t="s">
        <v>91</v>
      </c>
      <c r="X57" s="261"/>
      <c r="Y57" s="260"/>
      <c r="AA57" s="259" t="s">
        <v>91</v>
      </c>
      <c r="AB57" s="261"/>
      <c r="AC57" s="260"/>
    </row>
    <row r="58" spans="2:29" ht="15" customHeight="1">
      <c r="B58" s="108">
        <f>'[1]POOL-joueus'!$B$232</f>
        <v>39.28219178082192</v>
      </c>
      <c r="C58" s="108" t="str">
        <f>'[1]POOL-joueus'!$C$232</f>
        <v>S.J.</v>
      </c>
      <c r="D58" s="110" t="str">
        <f>'[1]POOL-joueus'!$D$232</f>
        <v>Rob Blake</v>
      </c>
      <c r="E58" s="108">
        <f>('[1]POOL-joueus'!$E$232)</f>
        <v>62</v>
      </c>
      <c r="F58" s="108">
        <f>('[1]POOL-joueus'!$F$232)</f>
        <v>9</v>
      </c>
      <c r="G58" s="108">
        <f>('[1]POOL-joueus'!$G$232)</f>
        <v>30</v>
      </c>
      <c r="H58" s="44">
        <f t="shared" si="9"/>
        <v>39</v>
      </c>
      <c r="I58" s="45">
        <f t="shared" si="10"/>
        <v>0.6290322580645161</v>
      </c>
      <c r="J58" s="145"/>
      <c r="K58" s="7"/>
      <c r="L58" s="7"/>
      <c r="M58" s="2"/>
      <c r="U58" s="161"/>
      <c r="W58" s="47" t="s">
        <v>90</v>
      </c>
      <c r="X58" s="47" t="s">
        <v>92</v>
      </c>
      <c r="Y58" s="47" t="s">
        <v>3</v>
      </c>
      <c r="AA58" s="47" t="s">
        <v>105</v>
      </c>
      <c r="AB58" s="47" t="s">
        <v>92</v>
      </c>
      <c r="AC58" s="47" t="s">
        <v>3</v>
      </c>
    </row>
    <row r="59" spans="2:29" ht="15" customHeight="1">
      <c r="B59" s="106">
        <f>'[1]POOL-joueus'!$B$235</f>
        <v>32.224657534246575</v>
      </c>
      <c r="C59" s="106" t="str">
        <f>'[1]POOL-joueus'!$C$235</f>
        <v>Ott</v>
      </c>
      <c r="D59" s="126" t="str">
        <f>'[1]POOL-joueus'!$D$235</f>
        <v>Filip Kuba</v>
      </c>
      <c r="E59" s="106">
        <f>(('[1]POOL-joueus'!$E$235))-50</f>
        <v>6</v>
      </c>
      <c r="F59" s="106">
        <f>(('[1]POOL-joueus'!$F$235))-1</f>
        <v>1</v>
      </c>
      <c r="G59" s="106">
        <f>(('[1]POOL-joueus'!$G$235))-27</f>
        <v>1</v>
      </c>
      <c r="H59" s="44">
        <f>SUM(F59:G59)</f>
        <v>2</v>
      </c>
      <c r="I59" s="45">
        <f>H59/E59</f>
        <v>0.3333333333333333</v>
      </c>
      <c r="J59" s="145"/>
      <c r="K59" s="7"/>
      <c r="L59" s="7"/>
      <c r="M59" s="2"/>
      <c r="U59" s="161"/>
      <c r="W59" s="95" t="s">
        <v>100</v>
      </c>
      <c r="X59" s="96" t="s">
        <v>94</v>
      </c>
      <c r="Y59" s="96">
        <v>1792</v>
      </c>
      <c r="AA59" s="95" t="s">
        <v>110</v>
      </c>
      <c r="AB59" s="96" t="s">
        <v>133</v>
      </c>
      <c r="AC59" s="96">
        <v>95</v>
      </c>
    </row>
    <row r="60" spans="2:29" ht="15" customHeight="1">
      <c r="B60" s="183">
        <f>'[1]POOL-joueus'!$B$249</f>
        <v>31.997260273972604</v>
      </c>
      <c r="C60" s="183" t="str">
        <f>'[1]POOL-joueus'!$C$249</f>
        <v>Wsh</v>
      </c>
      <c r="D60" s="184" t="str">
        <f>'[1]POOL-joueus'!$D$249</f>
        <v>Tom Poti</v>
      </c>
      <c r="E60" s="183">
        <v>27</v>
      </c>
      <c r="F60" s="183">
        <v>3</v>
      </c>
      <c r="G60" s="183">
        <v>7</v>
      </c>
      <c r="H60" s="187">
        <f t="shared" si="9"/>
        <v>10</v>
      </c>
      <c r="I60" s="188">
        <f t="shared" si="10"/>
        <v>0.37037037037037035</v>
      </c>
      <c r="J60" s="7"/>
      <c r="K60" s="7"/>
      <c r="L60" s="7"/>
      <c r="M60" s="2"/>
      <c r="U60" s="161"/>
      <c r="W60" s="95" t="s">
        <v>101</v>
      </c>
      <c r="X60" s="96" t="s">
        <v>114</v>
      </c>
      <c r="Y60" s="96" t="s">
        <v>138</v>
      </c>
      <c r="AA60" s="95" t="s">
        <v>111</v>
      </c>
      <c r="AB60" s="96" t="s">
        <v>94</v>
      </c>
      <c r="AC60" s="96" t="s">
        <v>139</v>
      </c>
    </row>
    <row r="61" spans="2:21" ht="15" customHeight="1">
      <c r="B61" s="107">
        <f>'[1]POOL-joueus'!$B$333</f>
        <v>34.701369863013696</v>
      </c>
      <c r="C61" s="107" t="str">
        <f>'[1]POOL-joueus'!$C$333</f>
        <v>Ott</v>
      </c>
      <c r="D61" s="124" t="str">
        <f>'[1]POOL-joueus'!$D$333</f>
        <v>Chris Campoli</v>
      </c>
      <c r="E61" s="107">
        <f>('[1]POOL-joueus'!$E$333)-21</f>
        <v>40</v>
      </c>
      <c r="F61" s="107">
        <f>('[1]POOL-joueus'!$F$333)-3</f>
        <v>5</v>
      </c>
      <c r="G61" s="107">
        <f>('[1]POOL-joueus'!$G$333)-2</f>
        <v>14</v>
      </c>
      <c r="H61" s="44">
        <f t="shared" si="9"/>
        <v>19</v>
      </c>
      <c r="I61" s="45">
        <f t="shared" si="10"/>
        <v>0.475</v>
      </c>
      <c r="J61" s="145"/>
      <c r="K61" s="7"/>
      <c r="L61" s="7"/>
      <c r="M61" s="2"/>
      <c r="U61" s="161"/>
    </row>
    <row r="62" spans="2:21" ht="15" customHeight="1">
      <c r="B62" s="185">
        <f>'[1]POOL-joueus'!$B$304</f>
        <v>35.367123287671234</v>
      </c>
      <c r="C62" s="185" t="str">
        <f>'[1]POOL-joueus'!$C$304</f>
        <v>Car</v>
      </c>
      <c r="D62" s="186" t="str">
        <f>'[1]POOL-joueus'!$D$304</f>
        <v>Frantisek Kaberle</v>
      </c>
      <c r="E62" s="185">
        <v>5</v>
      </c>
      <c r="F62" s="185">
        <v>0</v>
      </c>
      <c r="G62" s="185">
        <v>0</v>
      </c>
      <c r="H62" s="187">
        <f t="shared" si="9"/>
        <v>0</v>
      </c>
      <c r="I62" s="188">
        <f t="shared" si="10"/>
        <v>0</v>
      </c>
      <c r="J62" s="7"/>
      <c r="K62" s="7"/>
      <c r="L62" s="7"/>
      <c r="M62" s="2"/>
      <c r="U62" s="161"/>
    </row>
    <row r="63" spans="2:21" ht="15" customHeight="1">
      <c r="B63" s="185">
        <f>'[1]POOL-joueus'!$B$306</f>
        <v>32.24109589041096</v>
      </c>
      <c r="C63" s="185" t="str">
        <f>'[1]POOL-joueus'!$C$306</f>
        <v>Col</v>
      </c>
      <c r="D63" s="186" t="str">
        <f>'[1]POOL-joueus'!$D$306</f>
        <v>Brett Clark</v>
      </c>
      <c r="E63" s="185">
        <v>9</v>
      </c>
      <c r="F63" s="185">
        <v>0</v>
      </c>
      <c r="G63" s="185">
        <v>1</v>
      </c>
      <c r="H63" s="187">
        <f t="shared" si="9"/>
        <v>1</v>
      </c>
      <c r="I63" s="188">
        <f t="shared" si="10"/>
        <v>0.1111111111111111</v>
      </c>
      <c r="J63" s="7"/>
      <c r="K63" s="7"/>
      <c r="L63" s="7"/>
      <c r="M63" s="2"/>
      <c r="U63" s="161"/>
    </row>
    <row r="64" spans="2:21" ht="15" customHeight="1" thickBot="1">
      <c r="B64" s="109"/>
      <c r="C64" s="109"/>
      <c r="D64" s="111"/>
      <c r="E64" s="137"/>
      <c r="F64" s="137"/>
      <c r="G64" s="137"/>
      <c r="H64" s="37">
        <f t="shared" si="9"/>
        <v>0</v>
      </c>
      <c r="I64" s="46" t="e">
        <f t="shared" si="10"/>
        <v>#DIV/0!</v>
      </c>
      <c r="J64" s="7"/>
      <c r="K64" s="7"/>
      <c r="L64" s="7"/>
      <c r="M64" s="2"/>
      <c r="U64" s="162"/>
    </row>
    <row r="65" spans="2:21" ht="15" customHeight="1">
      <c r="B65" s="274" t="s">
        <v>26</v>
      </c>
      <c r="C65" s="275"/>
      <c r="D65" s="255"/>
      <c r="E65" s="14">
        <f>SUM(E54:E64)</f>
        <v>398</v>
      </c>
      <c r="F65" s="14">
        <f>SUM(F54:F64)</f>
        <v>56</v>
      </c>
      <c r="G65" s="14">
        <f>SUM(G54:G64)</f>
        <v>168</v>
      </c>
      <c r="H65" s="33">
        <f t="shared" si="9"/>
        <v>224</v>
      </c>
      <c r="I65" s="50">
        <f t="shared" si="10"/>
        <v>0.5628140703517588</v>
      </c>
      <c r="J65" s="7"/>
      <c r="K65" s="7"/>
      <c r="L65" s="7"/>
      <c r="M65" s="2"/>
      <c r="U65" s="162"/>
    </row>
    <row r="66" spans="2:21" ht="15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2"/>
      <c r="U66" s="161"/>
    </row>
    <row r="67" spans="2:21" ht="15" customHeight="1" thickBot="1">
      <c r="B67" s="256" t="s">
        <v>27</v>
      </c>
      <c r="C67" s="257"/>
      <c r="D67" s="257"/>
      <c r="E67" s="257"/>
      <c r="F67" s="257"/>
      <c r="G67" s="257"/>
      <c r="H67" s="257"/>
      <c r="I67" s="258"/>
      <c r="J67" s="7"/>
      <c r="K67" s="7"/>
      <c r="L67" s="7"/>
      <c r="M67" s="2"/>
      <c r="U67" s="161"/>
    </row>
    <row r="68" spans="1:21" ht="15" customHeight="1" thickBot="1">
      <c r="A68" s="30" t="s">
        <v>143</v>
      </c>
      <c r="B68" s="30" t="s">
        <v>15</v>
      </c>
      <c r="C68" s="30" t="s">
        <v>29</v>
      </c>
      <c r="D68" s="30" t="s">
        <v>17</v>
      </c>
      <c r="E68" s="31" t="s">
        <v>2</v>
      </c>
      <c r="F68" s="31" t="s">
        <v>21</v>
      </c>
      <c r="G68" s="31" t="s">
        <v>30</v>
      </c>
      <c r="H68" s="32" t="s">
        <v>6</v>
      </c>
      <c r="I68" s="31" t="s">
        <v>11</v>
      </c>
      <c r="J68" s="7"/>
      <c r="K68" s="7"/>
      <c r="L68" s="7"/>
      <c r="M68" s="2"/>
      <c r="U68" s="161"/>
    </row>
    <row r="69" spans="1:21" ht="15" customHeight="1" thickTop="1">
      <c r="A69" s="14" t="s">
        <v>145</v>
      </c>
      <c r="B69" s="106">
        <f>'[1]POOL-joueus'!$B$791</f>
        <v>22.84931506849315</v>
      </c>
      <c r="C69" s="106" t="str">
        <f>'[1]POOL-joueus'!$C$791</f>
        <v>Chi</v>
      </c>
      <c r="D69" s="126" t="str">
        <f>'[1]POOL-joueus'!$D$791</f>
        <v>Kris Versteeg</v>
      </c>
      <c r="E69" s="106">
        <f>(('[1]POOL-joueus'!$E$791)-3)-2</f>
        <v>57</v>
      </c>
      <c r="F69" s="106">
        <f>(('[1]POOL-joueus'!$F$791)-1)-1</f>
        <v>16</v>
      </c>
      <c r="G69" s="106">
        <f>(('[1]POOL-joueus'!$G$791)-0)-3</f>
        <v>25</v>
      </c>
      <c r="H69" s="44">
        <f aca="true" t="shared" si="11" ref="H69:H74">SUM(F69:G69)</f>
        <v>41</v>
      </c>
      <c r="I69" s="45">
        <f aca="true" t="shared" si="12" ref="I69:I74">H69/E69</f>
        <v>0.7192982456140351</v>
      </c>
      <c r="J69" s="7"/>
      <c r="K69" s="7"/>
      <c r="L69" s="7"/>
      <c r="M69" s="2"/>
      <c r="U69" s="161"/>
    </row>
    <row r="70" spans="1:21" ht="12.75">
      <c r="A70" s="202" t="s">
        <v>145</v>
      </c>
      <c r="B70" s="185">
        <f>'[1]POOL-joueus'!$B$792</f>
        <v>22.64109589041096</v>
      </c>
      <c r="C70" s="185" t="str">
        <f>'[1]POOL-joueus'!$C$792</f>
        <v>Nyr</v>
      </c>
      <c r="D70" s="186" t="str">
        <f>'[1]POOL-joueus'!$D$792</f>
        <v>Lauri Korpikoski</v>
      </c>
      <c r="E70" s="185">
        <v>1</v>
      </c>
      <c r="F70" s="185">
        <v>0</v>
      </c>
      <c r="G70" s="185">
        <v>0</v>
      </c>
      <c r="H70" s="187">
        <f t="shared" si="11"/>
        <v>0</v>
      </c>
      <c r="I70" s="188">
        <f t="shared" si="12"/>
        <v>0</v>
      </c>
      <c r="J70" s="7"/>
      <c r="K70" s="7"/>
      <c r="L70" s="7"/>
      <c r="M70" s="2"/>
      <c r="U70" s="161"/>
    </row>
    <row r="71" spans="1:21" ht="15.75" customHeight="1">
      <c r="A71" s="108" t="s">
        <v>145</v>
      </c>
      <c r="B71" s="108">
        <f>'[1]POOL-joueus'!$B$766</f>
        <v>20.323287671232876</v>
      </c>
      <c r="C71" s="108" t="str">
        <f>'[1]POOL-joueus'!$C$766</f>
        <v>Mtl</v>
      </c>
      <c r="D71" s="110" t="str">
        <f>'[1]POOL-joueus'!$D$766</f>
        <v>Max Pacioretty</v>
      </c>
      <c r="E71" s="108">
        <f>('[1]POOL-joueus'!$E$766)-4</f>
        <v>25</v>
      </c>
      <c r="F71" s="108">
        <f>('[1]POOL-joueus'!$F$766)-2</f>
        <v>1</v>
      </c>
      <c r="G71" s="108">
        <f>('[1]POOL-joueus'!$G$766)-1</f>
        <v>7</v>
      </c>
      <c r="H71" s="44">
        <f t="shared" si="11"/>
        <v>8</v>
      </c>
      <c r="I71" s="45">
        <f t="shared" si="12"/>
        <v>0.32</v>
      </c>
      <c r="J71" s="7"/>
      <c r="K71" s="7"/>
      <c r="L71" s="7"/>
      <c r="M71" s="2"/>
      <c r="U71" s="161"/>
    </row>
    <row r="72" spans="1:21" ht="15" customHeight="1">
      <c r="A72" s="201" t="s">
        <v>235</v>
      </c>
      <c r="B72" s="189">
        <f>'[1]POOL-joueus'!$B$768</f>
        <v>23.635616438356163</v>
      </c>
      <c r="C72" s="189" t="str">
        <f>'[1]POOL-joueus'!$C$768</f>
        <v>Pit</v>
      </c>
      <c r="D72" s="190" t="str">
        <f>'[1]POOL-joueus'!$D$768</f>
        <v>Alex Goligoski</v>
      </c>
      <c r="E72" s="189">
        <v>39</v>
      </c>
      <c r="F72" s="189">
        <v>6</v>
      </c>
      <c r="G72" s="189">
        <v>13</v>
      </c>
      <c r="H72" s="187">
        <f t="shared" si="11"/>
        <v>19</v>
      </c>
      <c r="I72" s="188">
        <f t="shared" si="12"/>
        <v>0.48717948717948717</v>
      </c>
      <c r="J72" s="7"/>
      <c r="K72" s="7"/>
      <c r="L72" s="7"/>
      <c r="M72" s="2"/>
      <c r="U72" s="161"/>
    </row>
    <row r="73" spans="1:21" ht="15" customHeight="1" thickBot="1">
      <c r="A73" s="202" t="s">
        <v>235</v>
      </c>
      <c r="B73" s="185">
        <f>'[1]POOL-joueus'!$B$623</f>
        <v>19.161643835616438</v>
      </c>
      <c r="C73" s="185" t="str">
        <f>'[1]POOL-joueus'!$C$623</f>
        <v>Stl</v>
      </c>
      <c r="D73" s="186" t="str">
        <f>'[1]POOL-joueus'!$D$623</f>
        <v>Alex Pietrangelo</v>
      </c>
      <c r="E73" s="204">
        <v>3</v>
      </c>
      <c r="F73" s="204">
        <v>0</v>
      </c>
      <c r="G73" s="204">
        <v>0</v>
      </c>
      <c r="H73" s="197">
        <f t="shared" si="11"/>
        <v>0</v>
      </c>
      <c r="I73" s="198">
        <f t="shared" si="12"/>
        <v>0</v>
      </c>
      <c r="J73" s="7"/>
      <c r="K73" s="7"/>
      <c r="L73" s="7"/>
      <c r="M73" s="2"/>
      <c r="U73" s="161"/>
    </row>
    <row r="74" spans="2:21" ht="15" customHeight="1">
      <c r="B74" s="274" t="s">
        <v>26</v>
      </c>
      <c r="C74" s="275"/>
      <c r="D74" s="255"/>
      <c r="E74" s="14">
        <f>SUM(E69:E73)</f>
        <v>125</v>
      </c>
      <c r="F74" s="14">
        <f>SUM(F69:F73)</f>
        <v>23</v>
      </c>
      <c r="G74" s="14">
        <f>SUM(G69:G73)</f>
        <v>45</v>
      </c>
      <c r="H74" s="33">
        <f t="shared" si="11"/>
        <v>68</v>
      </c>
      <c r="I74" s="50">
        <f t="shared" si="12"/>
        <v>0.544</v>
      </c>
      <c r="J74" s="7"/>
      <c r="K74" s="7"/>
      <c r="L74" s="7"/>
      <c r="M74" s="2"/>
      <c r="U74" s="161"/>
    </row>
    <row r="75" spans="2:21" ht="15" customHeight="1" thickBot="1">
      <c r="B75" s="51"/>
      <c r="C75" s="51"/>
      <c r="D75" s="51"/>
      <c r="E75" s="51"/>
      <c r="F75" s="51"/>
      <c r="G75" s="51"/>
      <c r="H75" s="51"/>
      <c r="I75" s="51"/>
      <c r="J75" s="52"/>
      <c r="K75" s="52"/>
      <c r="L75" s="52"/>
      <c r="M75" s="2"/>
      <c r="U75" s="161"/>
    </row>
    <row r="76" spans="2:21" ht="15" customHeight="1">
      <c r="B76" s="280" t="s">
        <v>63</v>
      </c>
      <c r="C76" s="280"/>
      <c r="D76" s="280"/>
      <c r="E76" s="280"/>
      <c r="F76" s="280"/>
      <c r="G76" s="280"/>
      <c r="H76" s="280"/>
      <c r="I76" s="280"/>
      <c r="J76" s="280"/>
      <c r="K76" s="280"/>
      <c r="L76" s="7"/>
      <c r="M76" s="2"/>
      <c r="U76" s="161"/>
    </row>
    <row r="77" spans="2:21" ht="15" customHeight="1">
      <c r="B77" s="53"/>
      <c r="C77" s="53"/>
      <c r="D77" s="53"/>
      <c r="E77" s="53"/>
      <c r="F77" s="53"/>
      <c r="G77" s="53"/>
      <c r="H77" s="53"/>
      <c r="I77" s="53"/>
      <c r="J77" s="7"/>
      <c r="K77" s="7"/>
      <c r="L77" s="7"/>
      <c r="M77" s="2"/>
      <c r="U77" s="161"/>
    </row>
    <row r="78" spans="2:21" ht="15" customHeight="1" thickBot="1">
      <c r="B78" s="53"/>
      <c r="C78" s="248" t="s">
        <v>1</v>
      </c>
      <c r="D78" s="249"/>
      <c r="E78" s="54" t="s">
        <v>2</v>
      </c>
      <c r="F78" s="54" t="s">
        <v>3</v>
      </c>
      <c r="G78" s="54" t="s">
        <v>4</v>
      </c>
      <c r="H78" s="54" t="s">
        <v>5</v>
      </c>
      <c r="I78" s="54" t="s">
        <v>6</v>
      </c>
      <c r="J78" s="53"/>
      <c r="K78" s="53"/>
      <c r="L78" s="7"/>
      <c r="M78" s="2"/>
      <c r="U78" s="161"/>
    </row>
    <row r="79" spans="2:21" ht="15" customHeight="1" thickTop="1">
      <c r="B79" s="53"/>
      <c r="C79" s="276" t="str">
        <f>'[1]Equipes-Pool'!$B$11</f>
        <v>Mighty Ducks d'Anaheim</v>
      </c>
      <c r="D79" s="277"/>
      <c r="E79" s="150">
        <f>('[1]Equipes-Pool'!$C$11)-17</f>
        <v>51</v>
      </c>
      <c r="F79" s="150">
        <f>('[1]Equipes-Pool'!$D$11)-27</f>
        <v>43</v>
      </c>
      <c r="G79" s="150">
        <f>('[1]Equipes-Pool'!$E$11)-55</f>
        <v>135</v>
      </c>
      <c r="H79" s="150">
        <f>('[1]Equipes-Pool'!$F$11)-44</f>
        <v>156</v>
      </c>
      <c r="I79" s="103">
        <f>F79+(G79-H79)</f>
        <v>22</v>
      </c>
      <c r="J79" s="53"/>
      <c r="K79" s="53"/>
      <c r="L79" s="7"/>
      <c r="M79" s="2"/>
      <c r="U79" s="161"/>
    </row>
    <row r="80" spans="2:21" ht="15" customHeight="1" thickBot="1">
      <c r="B80" s="53"/>
      <c r="C80" s="282" t="str">
        <f>'[1]Equipes-Pool'!$B$8</f>
        <v>Sharks de San jose</v>
      </c>
      <c r="D80" s="283"/>
      <c r="E80" s="229">
        <v>11</v>
      </c>
      <c r="F80" s="230">
        <v>20</v>
      </c>
      <c r="G80" s="230">
        <v>47</v>
      </c>
      <c r="H80" s="230">
        <v>27</v>
      </c>
      <c r="I80" s="230">
        <f>F80+(G80-H80)</f>
        <v>40</v>
      </c>
      <c r="J80" s="53"/>
      <c r="K80" s="53"/>
      <c r="L80" s="7"/>
      <c r="M80" s="2"/>
      <c r="U80" s="161"/>
    </row>
    <row r="81" spans="2:21" ht="15" customHeight="1">
      <c r="B81" s="53"/>
      <c r="C81" s="278" t="s">
        <v>7</v>
      </c>
      <c r="D81" s="279"/>
      <c r="E81" s="22">
        <f>SUM(E79:E80)</f>
        <v>62</v>
      </c>
      <c r="F81" s="22">
        <f>SUM(F79:F80)</f>
        <v>63</v>
      </c>
      <c r="G81" s="22">
        <f>SUM(G79:G80)</f>
        <v>182</v>
      </c>
      <c r="H81" s="22">
        <f>SUM(H79:H80)</f>
        <v>183</v>
      </c>
      <c r="I81" s="14">
        <f>F81+(G81-H81)</f>
        <v>62</v>
      </c>
      <c r="J81" s="53"/>
      <c r="K81" s="53"/>
      <c r="L81" s="7"/>
      <c r="M81" s="2"/>
      <c r="U81" s="162"/>
    </row>
    <row r="82" spans="10:21" ht="15" customHeight="1">
      <c r="J82" s="57"/>
      <c r="K82" s="57"/>
      <c r="M82" s="2"/>
      <c r="U82" s="162"/>
    </row>
    <row r="83" spans="2:21" ht="15" customHeight="1">
      <c r="B83" s="251" t="s">
        <v>13</v>
      </c>
      <c r="C83" s="252"/>
      <c r="D83" s="252"/>
      <c r="E83" s="252"/>
      <c r="F83" s="252"/>
      <c r="G83" s="252"/>
      <c r="H83" s="252"/>
      <c r="I83" s="252"/>
      <c r="J83" s="252"/>
      <c r="K83" s="253"/>
      <c r="M83" s="2"/>
      <c r="U83" s="163"/>
    </row>
    <row r="84" spans="2:21" ht="15" customHeight="1" thickBot="1">
      <c r="B84" s="54" t="s">
        <v>15</v>
      </c>
      <c r="C84" s="54" t="s">
        <v>16</v>
      </c>
      <c r="D84" s="54" t="s">
        <v>17</v>
      </c>
      <c r="E84" s="54" t="s">
        <v>2</v>
      </c>
      <c r="F84" s="54" t="s">
        <v>18</v>
      </c>
      <c r="G84" s="54" t="s">
        <v>19</v>
      </c>
      <c r="H84" s="54" t="s">
        <v>20</v>
      </c>
      <c r="I84" s="54" t="s">
        <v>21</v>
      </c>
      <c r="J84" s="54" t="s">
        <v>22</v>
      </c>
      <c r="K84" s="54" t="s">
        <v>6</v>
      </c>
      <c r="M84" s="2"/>
      <c r="U84" s="161"/>
    </row>
    <row r="85" spans="2:21" ht="15" customHeight="1" thickTop="1">
      <c r="B85" s="180">
        <f>'[1]Pool-gardien'!$B$56</f>
        <v>23.84931506849315</v>
      </c>
      <c r="C85" s="180" t="str">
        <f>'[1]Pool-gardien'!$C$56</f>
        <v>Mtl</v>
      </c>
      <c r="D85" s="181" t="str">
        <f>'[1]Pool-gardien'!$D$56</f>
        <v>Jaroslav Halak</v>
      </c>
      <c r="E85" s="180">
        <v>25</v>
      </c>
      <c r="F85" s="180">
        <v>13</v>
      </c>
      <c r="G85" s="180">
        <v>1</v>
      </c>
      <c r="H85" s="180">
        <v>0</v>
      </c>
      <c r="I85" s="180">
        <v>0</v>
      </c>
      <c r="J85" s="180">
        <v>0</v>
      </c>
      <c r="K85" s="201">
        <f aca="true" t="shared" si="13" ref="K85:K91">(F85*2)+G85+(H85*4)+(I85*10)+J85</f>
        <v>27</v>
      </c>
      <c r="M85" s="2"/>
      <c r="U85" s="161"/>
    </row>
    <row r="86" spans="2:21" ht="15" customHeight="1">
      <c r="B86" s="108">
        <f>'[1]Pool-gardien'!$B$57</f>
        <v>34.56712328767123</v>
      </c>
      <c r="C86" s="108" t="str">
        <f>'[1]Pool-gardien'!$C$57</f>
        <v>Bos</v>
      </c>
      <c r="D86" s="110" t="str">
        <f>'[1]Pool-gardien'!$D$57</f>
        <v>Emmanuel Fernandez</v>
      </c>
      <c r="E86" s="108">
        <f>'[1]Pool-gardien'!$E$57</f>
        <v>24</v>
      </c>
      <c r="F86" s="108">
        <f>'[1]Pool-gardien'!$F$57</f>
        <v>14</v>
      </c>
      <c r="G86" s="108">
        <f>'[1]Pool-gardien'!$G$57</f>
        <v>3</v>
      </c>
      <c r="H86" s="108">
        <f>'[1]Pool-gardien'!$H$57</f>
        <v>1</v>
      </c>
      <c r="I86" s="108">
        <f>'[1]Pool-gardien'!$I$57</f>
        <v>0</v>
      </c>
      <c r="J86" s="108">
        <f>'[1]Pool-gardien'!$J$57</f>
        <v>0</v>
      </c>
      <c r="K86" s="14">
        <f t="shared" si="13"/>
        <v>35</v>
      </c>
      <c r="M86" s="2"/>
      <c r="U86" s="161"/>
    </row>
    <row r="87" spans="2:21" ht="12.75">
      <c r="B87" s="180">
        <f>'[1]Pool-gardien'!$B$99</f>
        <v>32.21369863013699</v>
      </c>
      <c r="C87" s="180" t="str">
        <f>'[1]Pool-gardien'!$C$99</f>
        <v>S.J.</v>
      </c>
      <c r="D87" s="181" t="str">
        <f>'[1]Pool-gardien'!$D$99</f>
        <v>Brian Boucher</v>
      </c>
      <c r="E87" s="180">
        <v>7</v>
      </c>
      <c r="F87" s="180">
        <v>3</v>
      </c>
      <c r="G87" s="180">
        <v>1</v>
      </c>
      <c r="H87" s="180">
        <v>0</v>
      </c>
      <c r="I87" s="180">
        <v>0</v>
      </c>
      <c r="J87" s="180">
        <v>0</v>
      </c>
      <c r="K87" s="201">
        <f t="shared" si="13"/>
        <v>7</v>
      </c>
      <c r="M87" s="2"/>
      <c r="O87" s="128"/>
      <c r="P87" s="128"/>
      <c r="Q87" s="128"/>
      <c r="R87" s="128"/>
      <c r="S87" s="128"/>
      <c r="U87" s="161"/>
    </row>
    <row r="88" spans="2:21" ht="15" customHeight="1">
      <c r="B88" s="183">
        <f>'[1]Pool-gardien'!$B$41</f>
        <v>39.443835616438356</v>
      </c>
      <c r="C88" s="183" t="str">
        <f>'[1]Pool-gardien'!$C$41</f>
        <v>Edm</v>
      </c>
      <c r="D88" s="184" t="str">
        <f>'[1]Pool-gardien'!$D$41</f>
        <v>Dwayne Roloson</v>
      </c>
      <c r="E88" s="183">
        <v>4</v>
      </c>
      <c r="F88" s="183">
        <v>1</v>
      </c>
      <c r="G88" s="183">
        <v>1</v>
      </c>
      <c r="H88" s="183">
        <v>0</v>
      </c>
      <c r="I88" s="183">
        <v>0</v>
      </c>
      <c r="J88" s="183">
        <v>0</v>
      </c>
      <c r="K88" s="201">
        <f t="shared" si="13"/>
        <v>3</v>
      </c>
      <c r="M88" s="2"/>
      <c r="U88" s="161"/>
    </row>
    <row r="89" spans="2:21" ht="15" customHeight="1">
      <c r="B89" s="108">
        <f>'[1]Pool-gardien'!$B$29</f>
        <v>31.194520547945206</v>
      </c>
      <c r="C89" s="108" t="str">
        <f>'[1]Pool-gardien'!$C$29</f>
        <v>Pit</v>
      </c>
      <c r="D89" s="110" t="str">
        <f>'[1]Pool-gardien'!$D$29</f>
        <v>Mathieu Garon</v>
      </c>
      <c r="E89" s="108">
        <f>('[1]Pool-gardien'!$E$29)-8</f>
        <v>9</v>
      </c>
      <c r="F89" s="108">
        <f>('[1]Pool-gardien'!$F$29)-3</f>
        <v>3</v>
      </c>
      <c r="G89" s="108">
        <f>('[1]Pool-gardien'!$G$29)-0</f>
        <v>0</v>
      </c>
      <c r="H89" s="108">
        <f>('[1]Pool-gardien'!$H$29)-0</f>
        <v>0</v>
      </c>
      <c r="I89" s="108">
        <f>('[1]Pool-gardien'!$I$29)-0</f>
        <v>0</v>
      </c>
      <c r="J89" s="108">
        <f>('[1]Pool-gardien'!$J$29)-0</f>
        <v>0</v>
      </c>
      <c r="K89" s="14">
        <f t="shared" si="13"/>
        <v>6</v>
      </c>
      <c r="M89" s="2"/>
      <c r="U89" s="161"/>
    </row>
    <row r="90" spans="2:21" ht="15" customHeight="1" thickBot="1">
      <c r="B90" s="106">
        <f>'[1]Pool-gardien'!$B$5</f>
        <v>33.657534246575345</v>
      </c>
      <c r="C90" s="106" t="str">
        <f>'[1]Pool-gardien'!$C$5</f>
        <v>S.J.</v>
      </c>
      <c r="D90" s="126" t="str">
        <f>'[1]Pool-gardien'!$D$5</f>
        <v>Evgeni Nabokov</v>
      </c>
      <c r="E90" s="123">
        <f>(('[1]Pool-gardien'!$E$5))-47</f>
        <v>0</v>
      </c>
      <c r="F90" s="123">
        <f>(('[1]Pool-gardien'!$F$5))-32</f>
        <v>0</v>
      </c>
      <c r="G90" s="123">
        <f>(('[1]Pool-gardien'!$G$5))-7</f>
        <v>0</v>
      </c>
      <c r="H90" s="123">
        <f>(('[1]Pool-gardien'!$H$5))-5</f>
        <v>0</v>
      </c>
      <c r="I90" s="123">
        <f>(('[1]Pool-gardien'!$I$5))-0</f>
        <v>0</v>
      </c>
      <c r="J90" s="123">
        <f>(('[1]Pool-gardien'!$J$5))-0</f>
        <v>0</v>
      </c>
      <c r="K90" s="36">
        <f t="shared" si="13"/>
        <v>0</v>
      </c>
      <c r="L90" s="1" t="s">
        <v>234</v>
      </c>
      <c r="M90" s="2"/>
      <c r="U90" s="161"/>
    </row>
    <row r="91" spans="2:21" ht="15" customHeight="1">
      <c r="B91" s="278" t="s">
        <v>7</v>
      </c>
      <c r="C91" s="281"/>
      <c r="D91" s="279"/>
      <c r="E91" s="22">
        <f aca="true" t="shared" si="14" ref="E91:J91">SUM(E85:E90)</f>
        <v>69</v>
      </c>
      <c r="F91" s="22">
        <f t="shared" si="14"/>
        <v>34</v>
      </c>
      <c r="G91" s="22">
        <f t="shared" si="14"/>
        <v>6</v>
      </c>
      <c r="H91" s="22">
        <f t="shared" si="14"/>
        <v>1</v>
      </c>
      <c r="I91" s="22">
        <f t="shared" si="14"/>
        <v>0</v>
      </c>
      <c r="J91" s="22">
        <f t="shared" si="14"/>
        <v>0</v>
      </c>
      <c r="K91" s="14">
        <f t="shared" si="13"/>
        <v>78</v>
      </c>
      <c r="M91" s="2"/>
      <c r="U91" s="161"/>
    </row>
    <row r="92" spans="13:21" ht="15" customHeight="1">
      <c r="M92" s="2"/>
      <c r="U92" s="161"/>
    </row>
    <row r="93" spans="2:21" ht="15" customHeight="1">
      <c r="B93" s="251" t="s">
        <v>23</v>
      </c>
      <c r="C93" s="252"/>
      <c r="D93" s="252"/>
      <c r="E93" s="252"/>
      <c r="F93" s="252"/>
      <c r="G93" s="252"/>
      <c r="H93" s="252"/>
      <c r="I93" s="253"/>
      <c r="M93" s="2"/>
      <c r="U93" s="161"/>
    </row>
    <row r="94" spans="2:21" ht="15" customHeight="1" thickBot="1">
      <c r="B94" s="54" t="s">
        <v>15</v>
      </c>
      <c r="C94" s="54" t="s">
        <v>29</v>
      </c>
      <c r="D94" s="54" t="s">
        <v>17</v>
      </c>
      <c r="E94" s="54" t="s">
        <v>2</v>
      </c>
      <c r="F94" s="54" t="s">
        <v>21</v>
      </c>
      <c r="G94" s="54" t="s">
        <v>30</v>
      </c>
      <c r="H94" s="54" t="s">
        <v>6</v>
      </c>
      <c r="I94" s="54" t="s">
        <v>11</v>
      </c>
      <c r="M94" s="2"/>
      <c r="U94" s="161"/>
    </row>
    <row r="95" spans="2:21" ht="13.5" thickTop="1">
      <c r="B95" s="183">
        <f>'[1]POOL-joueus'!$B$407</f>
        <v>26.46849315068493</v>
      </c>
      <c r="C95" s="183" t="str">
        <f>'[1]POOL-joueus'!$C$407</f>
        <v>S.J.</v>
      </c>
      <c r="D95" s="184" t="str">
        <f>'[1]POOL-joueus'!$D$407</f>
        <v>Ryane Clowe</v>
      </c>
      <c r="E95" s="183">
        <v>2</v>
      </c>
      <c r="F95" s="183">
        <v>0</v>
      </c>
      <c r="G95" s="183">
        <v>1</v>
      </c>
      <c r="H95" s="139">
        <f aca="true" t="shared" si="15" ref="H95:H100">SUM(F95:G95)</f>
        <v>1</v>
      </c>
      <c r="I95" s="182">
        <f aca="true" t="shared" si="16" ref="I95:I100">H95/E95</f>
        <v>0.5</v>
      </c>
      <c r="M95" s="2"/>
      <c r="U95" s="161"/>
    </row>
    <row r="96" spans="2:21" ht="15" customHeight="1">
      <c r="B96" s="106">
        <f>'[1]POOL-joueus'!$B$259</f>
        <v>20.778082191780822</v>
      </c>
      <c r="C96" s="106" t="str">
        <f>'[1]POOL-joueus'!$C$259</f>
        <v>Bos</v>
      </c>
      <c r="D96" s="126" t="str">
        <f>'[1]POOL-joueus'!$D$259</f>
        <v>Milan Lucic</v>
      </c>
      <c r="E96" s="106">
        <f>('[1]POOL-joueus'!$E$259)-4</f>
        <v>55</v>
      </c>
      <c r="F96" s="106">
        <f>('[1]POOL-joueus'!$F$259)</f>
        <v>13</v>
      </c>
      <c r="G96" s="106">
        <f>('[1]POOL-joueus'!$G$259)-1</f>
        <v>21</v>
      </c>
      <c r="H96" s="22">
        <f t="shared" si="15"/>
        <v>34</v>
      </c>
      <c r="I96" s="23">
        <f t="shared" si="16"/>
        <v>0.6181818181818182</v>
      </c>
      <c r="J96" s="1" t="s">
        <v>234</v>
      </c>
      <c r="M96" s="2"/>
      <c r="U96" s="161"/>
    </row>
    <row r="97" spans="2:21" ht="15" customHeight="1">
      <c r="B97" s="180">
        <f>'[1]POOL-joueus'!$B$126</f>
        <v>21.76164383561644</v>
      </c>
      <c r="C97" s="180" t="str">
        <f>'[1]POOL-joueus'!$C$126</f>
        <v>Edm</v>
      </c>
      <c r="D97" s="181" t="str">
        <f>'[1]POOL-joueus'!$D$126</f>
        <v>Andrew Cogliano</v>
      </c>
      <c r="E97" s="180">
        <v>4</v>
      </c>
      <c r="F97" s="180">
        <v>2</v>
      </c>
      <c r="G97" s="180">
        <v>1</v>
      </c>
      <c r="H97" s="139">
        <f t="shared" si="15"/>
        <v>3</v>
      </c>
      <c r="I97" s="182">
        <f t="shared" si="16"/>
        <v>0.75</v>
      </c>
      <c r="M97" s="2"/>
      <c r="U97" s="161"/>
    </row>
    <row r="98" spans="2:21" ht="15" customHeight="1">
      <c r="B98" s="189">
        <f>'[1]POOL-joueus'!$B$148</f>
        <v>36.88493150684931</v>
      </c>
      <c r="C98" s="189" t="str">
        <f>'[1]POOL-joueus'!$C$148</f>
        <v>Atl</v>
      </c>
      <c r="D98" s="190" t="str">
        <f>'[1]POOL-joueus'!$D$148</f>
        <v>Vyacheslav Kozlov</v>
      </c>
      <c r="E98" s="189">
        <v>12</v>
      </c>
      <c r="F98" s="189">
        <v>10</v>
      </c>
      <c r="G98" s="189">
        <v>5</v>
      </c>
      <c r="H98" s="139">
        <f t="shared" si="15"/>
        <v>15</v>
      </c>
      <c r="I98" s="182">
        <f t="shared" si="16"/>
        <v>1.25</v>
      </c>
      <c r="M98" s="2"/>
      <c r="U98" s="161"/>
    </row>
    <row r="99" spans="2:21" ht="15" customHeight="1">
      <c r="B99" s="185">
        <f>'[1]POOL-joueus'!$B$84</f>
        <v>24.279452054794522</v>
      </c>
      <c r="C99" s="185" t="str">
        <f>'[1]POOL-joueus'!$C$84</f>
        <v>S.J.</v>
      </c>
      <c r="D99" s="186" t="str">
        <f>'[1]POOL-joueus'!$D$84</f>
        <v>Milan Michalek</v>
      </c>
      <c r="E99" s="185">
        <v>1</v>
      </c>
      <c r="F99" s="185">
        <v>0</v>
      </c>
      <c r="G99" s="185">
        <v>0</v>
      </c>
      <c r="H99" s="139">
        <f t="shared" si="15"/>
        <v>0</v>
      </c>
      <c r="I99" s="182">
        <f t="shared" si="16"/>
        <v>0</v>
      </c>
      <c r="M99" s="2"/>
      <c r="U99" s="161"/>
    </row>
    <row r="100" spans="2:21" ht="15" customHeight="1">
      <c r="B100" s="183">
        <f>'[1]POOL-joueus'!$B$241</f>
        <v>25.44931506849315</v>
      </c>
      <c r="C100" s="183" t="str">
        <f>'[1]POOL-joueus'!$C$241</f>
        <v>Phi</v>
      </c>
      <c r="D100" s="184" t="str">
        <f>'[1]POOL-joueus'!$D$241</f>
        <v>Scottie Upshall</v>
      </c>
      <c r="E100" s="183">
        <v>12</v>
      </c>
      <c r="F100" s="183">
        <v>1</v>
      </c>
      <c r="G100" s="183">
        <v>3</v>
      </c>
      <c r="H100" s="139">
        <f t="shared" si="15"/>
        <v>4</v>
      </c>
      <c r="I100" s="182">
        <f t="shared" si="16"/>
        <v>0.3333333333333333</v>
      </c>
      <c r="M100" s="2"/>
      <c r="U100" s="161"/>
    </row>
    <row r="101" spans="2:21" ht="15" customHeight="1">
      <c r="B101" s="109">
        <f>'[1]POOL-joueus'!$B$211</f>
        <v>30.16986301369863</v>
      </c>
      <c r="C101" s="109" t="str">
        <f>'[1]POOL-joueus'!$C$211</f>
        <v>Pit</v>
      </c>
      <c r="D101" s="111" t="str">
        <f>'[1]POOL-joueus'!$D$211</f>
        <v>Ruslan Fedotenko</v>
      </c>
      <c r="E101" s="109">
        <f>('[1]POOL-joueus'!$E$211)-8</f>
        <v>44</v>
      </c>
      <c r="F101" s="109">
        <f>('[1]POOL-joueus'!$F$211)-1</f>
        <v>12</v>
      </c>
      <c r="G101" s="109">
        <f>('[1]POOL-joueus'!$G$211)-1</f>
        <v>15</v>
      </c>
      <c r="H101" s="22">
        <f aca="true" t="shared" si="17" ref="H101:H107">SUM(F101:G101)</f>
        <v>27</v>
      </c>
      <c r="I101" s="23">
        <f aca="true" t="shared" si="18" ref="I101:I107">H101/E101</f>
        <v>0.6136363636363636</v>
      </c>
      <c r="M101" s="2"/>
      <c r="U101" s="161"/>
    </row>
    <row r="102" spans="2:21" ht="15" customHeight="1">
      <c r="B102" s="183">
        <f>'[1]POOL-joueus'!$B$200</f>
        <v>24.926027397260274</v>
      </c>
      <c r="C102" s="183" t="str">
        <f>'[1]POOL-joueus'!$C$200</f>
        <v>Buf</v>
      </c>
      <c r="D102" s="184" t="str">
        <f>'[1]POOL-joueus'!$D$200</f>
        <v>Dan Paille</v>
      </c>
      <c r="E102" s="183">
        <v>32</v>
      </c>
      <c r="F102" s="183">
        <v>4</v>
      </c>
      <c r="G102" s="183">
        <v>8</v>
      </c>
      <c r="H102" s="139">
        <f t="shared" si="17"/>
        <v>12</v>
      </c>
      <c r="I102" s="182">
        <f t="shared" si="18"/>
        <v>0.375</v>
      </c>
      <c r="M102" s="2"/>
      <c r="U102" s="161"/>
    </row>
    <row r="103" spans="2:21" ht="12.75">
      <c r="B103" s="189">
        <f>'[1]POOL-joueus'!$B$84</f>
        <v>24.279452054794522</v>
      </c>
      <c r="C103" s="189" t="str">
        <f>'[1]POOL-joueus'!$C$84</f>
        <v>S.J.</v>
      </c>
      <c r="D103" s="190" t="str">
        <f>'[1]POOL-joueus'!$D$84</f>
        <v>Milan Michalek</v>
      </c>
      <c r="E103" s="189">
        <v>4</v>
      </c>
      <c r="F103" s="189">
        <v>2</v>
      </c>
      <c r="G103" s="189">
        <v>1</v>
      </c>
      <c r="H103" s="139">
        <f t="shared" si="17"/>
        <v>3</v>
      </c>
      <c r="I103" s="182">
        <f t="shared" si="18"/>
        <v>0.75</v>
      </c>
      <c r="M103" s="2"/>
      <c r="U103" s="161"/>
    </row>
    <row r="104" spans="2:21" ht="15" customHeight="1">
      <c r="B104" s="183">
        <f>'[1]POOL-joueus'!$B$94</f>
        <v>24.12054794520548</v>
      </c>
      <c r="C104" s="183" t="str">
        <f>'[1]POOL-joueus'!$C$94</f>
        <v>Mtl</v>
      </c>
      <c r="D104" s="184" t="str">
        <f>'[1]POOL-joueus'!$D$94</f>
        <v>Andrei Kostitsyn</v>
      </c>
      <c r="E104" s="183">
        <v>1</v>
      </c>
      <c r="F104" s="183">
        <v>3</v>
      </c>
      <c r="G104" s="183">
        <v>0</v>
      </c>
      <c r="H104" s="139">
        <f t="shared" si="17"/>
        <v>3</v>
      </c>
      <c r="I104" s="182">
        <f t="shared" si="18"/>
        <v>3</v>
      </c>
      <c r="M104" s="2"/>
      <c r="U104" s="161"/>
    </row>
    <row r="105" spans="2:21" ht="15" customHeight="1">
      <c r="B105" s="107">
        <f>'[1]POOL-joueus'!$B$48</f>
        <v>30.186301369863013</v>
      </c>
      <c r="C105" s="107" t="str">
        <f>'[1]POOL-joueus'!$C$48</f>
        <v>Det</v>
      </c>
      <c r="D105" s="124" t="str">
        <f>'[1]POOL-joueus'!$D$48</f>
        <v>Marian Hossa</v>
      </c>
      <c r="E105" s="107">
        <f>('[1]POOL-joueus'!$E$48)-62</f>
        <v>0</v>
      </c>
      <c r="F105" s="107">
        <f>('[1]POOL-joueus'!$F$48)-34</f>
        <v>0</v>
      </c>
      <c r="G105" s="107">
        <f>('[1]POOL-joueus'!$G$48)-27</f>
        <v>0</v>
      </c>
      <c r="H105" s="22">
        <f>SUM(F105:G105)</f>
        <v>0</v>
      </c>
      <c r="I105" s="23" t="e">
        <f>H105/E105</f>
        <v>#DIV/0!</v>
      </c>
      <c r="J105" s="1" t="s">
        <v>234</v>
      </c>
      <c r="M105" s="2"/>
      <c r="U105" s="161"/>
    </row>
    <row r="106" spans="2:21" ht="15" customHeight="1">
      <c r="B106" s="109">
        <f>'[1]POOL-joueus'!$B$30</f>
        <v>30.175342465753424</v>
      </c>
      <c r="C106" s="109" t="str">
        <f>'[1]POOL-joueus'!$C$30</f>
        <v>Dal</v>
      </c>
      <c r="D106" s="111" t="str">
        <f>'[1]POOL-joueus'!$D$30</f>
        <v>Brenden Morrow</v>
      </c>
      <c r="E106" s="109">
        <f>('[1]POOL-joueus'!$E$30)-18</f>
        <v>0</v>
      </c>
      <c r="F106" s="109">
        <f>('[1]POOL-joueus'!$F$30)-5</f>
        <v>0</v>
      </c>
      <c r="G106" s="109">
        <f>('[1]POOL-joueus'!$G$30)-10</f>
        <v>0</v>
      </c>
      <c r="H106" s="22">
        <f t="shared" si="17"/>
        <v>0</v>
      </c>
      <c r="I106" s="23" t="e">
        <f t="shared" si="18"/>
        <v>#DIV/0!</v>
      </c>
      <c r="J106" s="1" t="s">
        <v>234</v>
      </c>
      <c r="M106" s="2"/>
      <c r="U106" s="161"/>
    </row>
    <row r="107" spans="2:21" ht="15" customHeight="1">
      <c r="B107" s="185">
        <f>'[1]POOL-joueus'!$B$36</f>
        <v>20.326027397260273</v>
      </c>
      <c r="C107" s="185" t="str">
        <f>'[1]POOL-joueus'!$C$36</f>
        <v>Chi</v>
      </c>
      <c r="D107" s="186" t="str">
        <f>'[1]POOL-joueus'!$D$36</f>
        <v>Patrick Kane</v>
      </c>
      <c r="E107" s="185">
        <v>1</v>
      </c>
      <c r="F107" s="185">
        <v>0</v>
      </c>
      <c r="G107" s="185">
        <v>1</v>
      </c>
      <c r="H107" s="139">
        <f t="shared" si="17"/>
        <v>1</v>
      </c>
      <c r="I107" s="182">
        <f t="shared" si="18"/>
        <v>1</v>
      </c>
      <c r="M107" s="2"/>
      <c r="U107" s="161"/>
    </row>
    <row r="108" spans="2:21" ht="15" customHeight="1">
      <c r="B108" s="183">
        <f>'[1]POOL-joueus'!$B$96</f>
        <v>24.126027397260273</v>
      </c>
      <c r="C108" s="183" t="str">
        <f>'[1]POOL-joueus'!$C$96</f>
        <v>Edm</v>
      </c>
      <c r="D108" s="184" t="str">
        <f>'[1]POOL-joueus'!$D$96</f>
        <v>Patrick O'Sullivan</v>
      </c>
      <c r="E108" s="183">
        <v>33</v>
      </c>
      <c r="F108" s="183">
        <v>10</v>
      </c>
      <c r="G108" s="183">
        <v>15</v>
      </c>
      <c r="H108" s="139">
        <f>SUM(F108:G108)</f>
        <v>25</v>
      </c>
      <c r="I108" s="182">
        <f>H108/E108</f>
        <v>0.7575757575757576</v>
      </c>
      <c r="M108" s="2"/>
      <c r="U108" s="161"/>
    </row>
    <row r="109" spans="2:21" ht="15" customHeight="1" thickBot="1">
      <c r="B109" s="107"/>
      <c r="C109" s="107"/>
      <c r="D109" s="124"/>
      <c r="E109" s="123"/>
      <c r="F109" s="123"/>
      <c r="G109" s="123"/>
      <c r="H109" s="40">
        <f>SUM(F109:G109)</f>
        <v>0</v>
      </c>
      <c r="I109" s="41" t="e">
        <f>H109/E109</f>
        <v>#DIV/0!</v>
      </c>
      <c r="M109" s="2"/>
      <c r="U109" s="161"/>
    </row>
    <row r="110" spans="2:21" ht="12.75">
      <c r="B110" s="278" t="s">
        <v>7</v>
      </c>
      <c r="C110" s="281"/>
      <c r="D110" s="279"/>
      <c r="E110" s="22">
        <f>SUM(E95:E109)</f>
        <v>201</v>
      </c>
      <c r="F110" s="22">
        <f>SUM(F95:F109)</f>
        <v>57</v>
      </c>
      <c r="G110" s="22">
        <f>SUM(G95:G109)</f>
        <v>71</v>
      </c>
      <c r="H110" s="22">
        <f>SUM(F110:G110)</f>
        <v>128</v>
      </c>
      <c r="I110" s="23">
        <f>H110/E110</f>
        <v>0.6368159203980099</v>
      </c>
      <c r="M110" s="2"/>
      <c r="U110" s="161"/>
    </row>
    <row r="111" spans="13:21" ht="12.75">
      <c r="M111" s="2"/>
      <c r="U111" s="161"/>
    </row>
    <row r="112" spans="2:21" ht="15" customHeight="1">
      <c r="B112" s="251" t="s">
        <v>24</v>
      </c>
      <c r="C112" s="252"/>
      <c r="D112" s="252"/>
      <c r="E112" s="252"/>
      <c r="F112" s="252"/>
      <c r="G112" s="252"/>
      <c r="H112" s="252"/>
      <c r="I112" s="253"/>
      <c r="M112" s="2"/>
      <c r="U112" s="161"/>
    </row>
    <row r="113" spans="2:21" ht="15" customHeight="1" thickBot="1">
      <c r="B113" s="54" t="s">
        <v>15</v>
      </c>
      <c r="C113" s="54" t="s">
        <v>29</v>
      </c>
      <c r="D113" s="54" t="s">
        <v>17</v>
      </c>
      <c r="E113" s="54" t="s">
        <v>2</v>
      </c>
      <c r="F113" s="54" t="s">
        <v>21</v>
      </c>
      <c r="G113" s="54" t="s">
        <v>30</v>
      </c>
      <c r="H113" s="54" t="s">
        <v>6</v>
      </c>
      <c r="I113" s="54" t="s">
        <v>11</v>
      </c>
      <c r="M113" s="2"/>
      <c r="U113" s="161"/>
    </row>
    <row r="114" spans="2:21" ht="15" customHeight="1" thickTop="1">
      <c r="B114" s="185">
        <f>'[1]POOL-joueus'!$B$103</f>
        <v>38.61917808219178</v>
      </c>
      <c r="C114" s="185" t="str">
        <f>'[1]POOL-joueus'!$C$103</f>
        <v>Car</v>
      </c>
      <c r="D114" s="186" t="str">
        <f>'[1]POOL-joueus'!$D$103</f>
        <v>Rob Brind'Amour</v>
      </c>
      <c r="E114" s="200">
        <v>3</v>
      </c>
      <c r="F114" s="200">
        <v>2</v>
      </c>
      <c r="G114" s="200">
        <v>1</v>
      </c>
      <c r="H114" s="139">
        <f aca="true" t="shared" si="19" ref="H114:H120">SUM(F114:G114)</f>
        <v>3</v>
      </c>
      <c r="I114" s="182">
        <f aca="true" t="shared" si="20" ref="I114:I120">H114/E114</f>
        <v>1</v>
      </c>
      <c r="M114" s="2"/>
      <c r="U114" s="161"/>
    </row>
    <row r="115" spans="2:21" ht="15" customHeight="1">
      <c r="B115" s="185">
        <f>'[1]POOL-joueus'!$B$173</f>
        <v>30.6</v>
      </c>
      <c r="C115" s="185" t="str">
        <f>'[1]POOL-joueus'!$C$173</f>
        <v>Fla</v>
      </c>
      <c r="D115" s="186" t="str">
        <f>'[1]POOL-joueus'!$D$173</f>
        <v>Brett McLean</v>
      </c>
      <c r="E115" s="189">
        <v>12</v>
      </c>
      <c r="F115" s="189">
        <v>0</v>
      </c>
      <c r="G115" s="189">
        <v>3</v>
      </c>
      <c r="H115" s="139">
        <f t="shared" si="19"/>
        <v>3</v>
      </c>
      <c r="I115" s="182">
        <f t="shared" si="20"/>
        <v>0.25</v>
      </c>
      <c r="M115" s="2"/>
      <c r="U115" s="161"/>
    </row>
    <row r="116" spans="2:21" ht="15" customHeight="1">
      <c r="B116" s="107">
        <f>'[1]POOL-joueus'!$B$784</f>
        <v>22.786301369863015</v>
      </c>
      <c r="C116" s="107" t="str">
        <f>'[1]POOL-joueus'!$C$784</f>
        <v>Chi</v>
      </c>
      <c r="D116" s="124" t="str">
        <f>'[1]POOL-joueus'!$D$784</f>
        <v>David Bolland</v>
      </c>
      <c r="E116" s="107">
        <f>(('[1]POOL-joueus'!$E$784)-5)-55</f>
        <v>5</v>
      </c>
      <c r="F116" s="107">
        <f>(('[1]POOL-joueus'!$F$784)-1)-14</f>
        <v>0</v>
      </c>
      <c r="G116" s="107">
        <f>(('[1]POOL-joueus'!$G$784)-2)-21</f>
        <v>1</v>
      </c>
      <c r="H116" s="22">
        <f>SUM(F116:G116)</f>
        <v>1</v>
      </c>
      <c r="I116" s="23">
        <f>H116/E116</f>
        <v>0.2</v>
      </c>
      <c r="M116" s="2"/>
      <c r="U116" s="161"/>
    </row>
    <row r="117" spans="2:21" ht="15" customHeight="1">
      <c r="B117" s="109">
        <f>'[1]POOL-joueus'!$B$76</f>
        <v>38.79178082191781</v>
      </c>
      <c r="C117" s="109" t="str">
        <f>'[1]POOL-joueus'!$C$76</f>
        <v>Dal</v>
      </c>
      <c r="D117" s="111" t="str">
        <f>'[1]POOL-joueus'!$D$76</f>
        <v>Mike Modano</v>
      </c>
      <c r="E117" s="109">
        <f>((('[1]POOL-joueus'!$E$76)-9)-24)-9</f>
        <v>25</v>
      </c>
      <c r="F117" s="109">
        <f>((('[1]POOL-joueus'!$F$76)-4)-7)-2</f>
        <v>2</v>
      </c>
      <c r="G117" s="109">
        <f>((('[1]POOL-joueus'!$G$76)-6)-5)-3</f>
        <v>14</v>
      </c>
      <c r="H117" s="22">
        <f t="shared" si="19"/>
        <v>16</v>
      </c>
      <c r="I117" s="23">
        <f t="shared" si="20"/>
        <v>0.64</v>
      </c>
      <c r="M117" s="2"/>
      <c r="U117" s="161"/>
    </row>
    <row r="118" spans="2:21" ht="15" customHeight="1">
      <c r="B118" s="183">
        <f>'[1]POOL-joueus'!$B$208</f>
        <v>23.84931506849315</v>
      </c>
      <c r="C118" s="183" t="str">
        <f>'[1]POOL-joueus'!$C$208</f>
        <v>N.J.</v>
      </c>
      <c r="D118" s="184" t="str">
        <f>'[1]POOL-joueus'!$D$208</f>
        <v>Travis Zajac</v>
      </c>
      <c r="E118" s="183">
        <v>43</v>
      </c>
      <c r="F118" s="183">
        <v>12</v>
      </c>
      <c r="G118" s="183">
        <v>21</v>
      </c>
      <c r="H118" s="139">
        <f t="shared" si="19"/>
        <v>33</v>
      </c>
      <c r="I118" s="182">
        <f t="shared" si="20"/>
        <v>0.7674418604651163</v>
      </c>
      <c r="M118" s="2"/>
      <c r="U118" s="161"/>
    </row>
    <row r="119" spans="2:21" ht="15" customHeight="1" thickBot="1">
      <c r="B119" s="180">
        <f>'[1]POOL-joueus'!$B$159</f>
        <v>24.687671232876713</v>
      </c>
      <c r="C119" s="180" t="str">
        <f>'[1]POOL-joueus'!$C$159</f>
        <v>S.J.</v>
      </c>
      <c r="D119" s="181" t="str">
        <f>'[1]POOL-joueus'!$D$159</f>
        <v>Joe Pavelski</v>
      </c>
      <c r="E119" s="196">
        <v>16</v>
      </c>
      <c r="F119" s="196">
        <v>6</v>
      </c>
      <c r="G119" s="196">
        <v>8</v>
      </c>
      <c r="H119" s="223">
        <f t="shared" si="19"/>
        <v>14</v>
      </c>
      <c r="I119" s="213">
        <f t="shared" si="20"/>
        <v>0.875</v>
      </c>
      <c r="M119" s="2"/>
      <c r="U119" s="161"/>
    </row>
    <row r="120" spans="2:21" ht="15" customHeight="1">
      <c r="B120" s="278" t="s">
        <v>7</v>
      </c>
      <c r="C120" s="281"/>
      <c r="D120" s="279"/>
      <c r="E120" s="22">
        <f>SUM(E114:E119)</f>
        <v>104</v>
      </c>
      <c r="F120" s="22">
        <f>SUM(F114:F119)</f>
        <v>22</v>
      </c>
      <c r="G120" s="22">
        <f>SUM(G114:G119)</f>
        <v>48</v>
      </c>
      <c r="H120" s="22">
        <f t="shared" si="19"/>
        <v>70</v>
      </c>
      <c r="I120" s="23">
        <f t="shared" si="20"/>
        <v>0.6730769230769231</v>
      </c>
      <c r="M120" s="2"/>
      <c r="U120" s="161"/>
    </row>
    <row r="121" spans="13:21" ht="15" customHeight="1">
      <c r="M121" s="2"/>
      <c r="U121" s="161"/>
    </row>
    <row r="122" spans="2:21" ht="15" customHeight="1">
      <c r="B122" s="251" t="s">
        <v>25</v>
      </c>
      <c r="C122" s="252"/>
      <c r="D122" s="252"/>
      <c r="E122" s="252"/>
      <c r="F122" s="252"/>
      <c r="G122" s="252"/>
      <c r="H122" s="252"/>
      <c r="I122" s="253"/>
      <c r="M122" s="2"/>
      <c r="U122" s="161"/>
    </row>
    <row r="123" spans="2:21" ht="15" customHeight="1" thickBot="1">
      <c r="B123" s="54" t="s">
        <v>15</v>
      </c>
      <c r="C123" s="54" t="s">
        <v>29</v>
      </c>
      <c r="D123" s="54" t="s">
        <v>17</v>
      </c>
      <c r="E123" s="54" t="s">
        <v>2</v>
      </c>
      <c r="F123" s="54" t="s">
        <v>21</v>
      </c>
      <c r="G123" s="54" t="s">
        <v>30</v>
      </c>
      <c r="H123" s="54" t="s">
        <v>6</v>
      </c>
      <c r="I123" s="54" t="s">
        <v>11</v>
      </c>
      <c r="M123" s="2"/>
      <c r="U123" s="161"/>
    </row>
    <row r="124" spans="2:21" ht="15" customHeight="1" thickTop="1">
      <c r="B124" s="185">
        <f>'[1]POOL-joueus'!$B$333</f>
        <v>34.701369863013696</v>
      </c>
      <c r="C124" s="185" t="str">
        <f>'[1]POOL-joueus'!$C$333</f>
        <v>Ott</v>
      </c>
      <c r="D124" s="186" t="str">
        <f>'[1]POOL-joueus'!$D$333</f>
        <v>Chris Campoli</v>
      </c>
      <c r="E124" s="185">
        <v>21</v>
      </c>
      <c r="F124" s="185">
        <v>3</v>
      </c>
      <c r="G124" s="185">
        <v>2</v>
      </c>
      <c r="H124" s="139">
        <f aca="true" t="shared" si="21" ref="H124:H132">SUM(F124:G124)</f>
        <v>5</v>
      </c>
      <c r="I124" s="182">
        <f aca="true" t="shared" si="22" ref="I124:I132">H124/E124</f>
        <v>0.23809523809523808</v>
      </c>
      <c r="M124" s="2"/>
      <c r="U124" s="161"/>
    </row>
    <row r="125" spans="2:21" ht="15" customHeight="1">
      <c r="B125" s="185">
        <f>'[1]POOL-joueus'!$B$317</f>
        <v>23.594520547945205</v>
      </c>
      <c r="C125" s="185" t="str">
        <f>'[1]POOL-joueus'!$C$317</f>
        <v>Nsh</v>
      </c>
      <c r="D125" s="186" t="str">
        <f>'[1]POOL-joueus'!$D$317</f>
        <v>Shea Weber</v>
      </c>
      <c r="E125" s="185">
        <v>2</v>
      </c>
      <c r="F125" s="185">
        <v>1</v>
      </c>
      <c r="G125" s="185">
        <v>0</v>
      </c>
      <c r="H125" s="139">
        <f>SUM(F125:G125)</f>
        <v>1</v>
      </c>
      <c r="I125" s="182">
        <f>H125/E125</f>
        <v>0.5</v>
      </c>
      <c r="M125" s="2"/>
      <c r="U125" s="161"/>
    </row>
    <row r="126" spans="2:21" ht="15" customHeight="1">
      <c r="B126" s="107">
        <f>'[1]POOL-joueus'!$B$306</f>
        <v>32.24109589041096</v>
      </c>
      <c r="C126" s="107" t="str">
        <f>'[1]POOL-joueus'!$C$306</f>
        <v>Col</v>
      </c>
      <c r="D126" s="124" t="str">
        <f>'[1]POOL-joueus'!$D$306</f>
        <v>Brett Clark</v>
      </c>
      <c r="E126" s="107">
        <f>('[1]POOL-joueus'!$E$306)-9</f>
        <v>59</v>
      </c>
      <c r="F126" s="107">
        <f>('[1]POOL-joueus'!$F$306)</f>
        <v>2</v>
      </c>
      <c r="G126" s="107">
        <f>('[1]POOL-joueus'!$G$306)-1</f>
        <v>9</v>
      </c>
      <c r="H126" s="22">
        <f t="shared" si="21"/>
        <v>11</v>
      </c>
      <c r="I126" s="23">
        <f t="shared" si="22"/>
        <v>0.1864406779661017</v>
      </c>
      <c r="M126" s="2"/>
      <c r="U126" s="161"/>
    </row>
    <row r="127" spans="2:21" ht="15" customHeight="1">
      <c r="B127" s="185">
        <f>'[1]POOL-joueus'!$B$304</f>
        <v>35.367123287671234</v>
      </c>
      <c r="C127" s="185" t="str">
        <f>'[1]POOL-joueus'!$C$304</f>
        <v>Car</v>
      </c>
      <c r="D127" s="186" t="str">
        <f>'[1]POOL-joueus'!$D$304</f>
        <v>Frantisek Kaberle</v>
      </c>
      <c r="E127" s="185">
        <v>23</v>
      </c>
      <c r="F127" s="185">
        <v>0</v>
      </c>
      <c r="G127" s="185">
        <v>6</v>
      </c>
      <c r="H127" s="139">
        <f t="shared" si="21"/>
        <v>6</v>
      </c>
      <c r="I127" s="182">
        <f t="shared" si="22"/>
        <v>0.2608695652173913</v>
      </c>
      <c r="M127" s="2"/>
      <c r="U127" s="161"/>
    </row>
    <row r="128" spans="2:21" ht="15" customHeight="1">
      <c r="B128" s="109">
        <f>'[1]POOL-joueus'!$B$311</f>
        <v>26.312328767123287</v>
      </c>
      <c r="C128" s="109" t="str">
        <f>'[1]POOL-joueus'!$C$311</f>
        <v>Fla</v>
      </c>
      <c r="D128" s="111" t="str">
        <f>'[1]POOL-joueus'!$D$311</f>
        <v>Keith Ballard</v>
      </c>
      <c r="E128" s="109">
        <f>((('[1]POOL-joueus'!$E$311)-5)-29)-25</f>
        <v>8</v>
      </c>
      <c r="F128" s="109">
        <f>((('[1]POOL-joueus'!$F$311)-1)-3)-1</f>
        <v>1</v>
      </c>
      <c r="G128" s="109">
        <f>((('[1]POOL-joueus'!$G$311)-4)-6)-8</f>
        <v>6</v>
      </c>
      <c r="H128" s="22">
        <f>SUM(F128:G128)</f>
        <v>7</v>
      </c>
      <c r="I128" s="23">
        <f>H128/E128</f>
        <v>0.875</v>
      </c>
      <c r="M128" s="2"/>
      <c r="U128" s="161"/>
    </row>
    <row r="129" spans="2:21" ht="15" customHeight="1">
      <c r="B129" s="107">
        <f>'[1]POOL-joueus'!$B$772</f>
        <v>24.887671232876713</v>
      </c>
      <c r="C129" s="107" t="str">
        <f>'[1]POOL-joueus'!$C$772</f>
        <v>Nyr</v>
      </c>
      <c r="D129" s="124" t="str">
        <f>'[1]POOL-joueus'!$D$772</f>
        <v>Dan Girardi</v>
      </c>
      <c r="E129" s="107">
        <f>('[1]POOL-joueus'!$E$772)-61</f>
        <v>7</v>
      </c>
      <c r="F129" s="107">
        <f>('[1]POOL-joueus'!$F$772)-3</f>
        <v>0</v>
      </c>
      <c r="G129" s="107">
        <f>('[1]POOL-joueus'!$G$772)-13</f>
        <v>0</v>
      </c>
      <c r="H129" s="22">
        <f>SUM(F129:G129)</f>
        <v>0</v>
      </c>
      <c r="I129" s="23">
        <f>H129/E129</f>
        <v>0</v>
      </c>
      <c r="M129" s="2"/>
      <c r="U129" s="161"/>
    </row>
    <row r="130" spans="2:21" ht="15" customHeight="1" thickBot="1">
      <c r="B130" s="183">
        <f>'[1]POOL-joueus'!$B$249</f>
        <v>31.997260273972604</v>
      </c>
      <c r="C130" s="183" t="str">
        <f>'[1]POOL-joueus'!$C$249</f>
        <v>Wsh</v>
      </c>
      <c r="D130" s="184" t="str">
        <f>'[1]POOL-joueus'!$D$249</f>
        <v>Tom Poti</v>
      </c>
      <c r="E130" s="183">
        <v>7</v>
      </c>
      <c r="F130" s="183">
        <v>0</v>
      </c>
      <c r="G130" s="183">
        <v>2</v>
      </c>
      <c r="H130" s="139">
        <f t="shared" si="21"/>
        <v>2</v>
      </c>
      <c r="I130" s="182">
        <f t="shared" si="22"/>
        <v>0.2857142857142857</v>
      </c>
      <c r="N130" s="86" t="s">
        <v>82</v>
      </c>
      <c r="O130" s="86" t="s">
        <v>81</v>
      </c>
      <c r="U130" s="161"/>
    </row>
    <row r="131" spans="2:21" ht="15" customHeight="1" thickBot="1">
      <c r="B131" s="107"/>
      <c r="C131" s="107"/>
      <c r="D131" s="124"/>
      <c r="E131" s="123"/>
      <c r="F131" s="123"/>
      <c r="G131" s="123"/>
      <c r="H131" s="40">
        <f t="shared" si="21"/>
        <v>0</v>
      </c>
      <c r="I131" s="41" t="e">
        <f t="shared" si="22"/>
        <v>#DIV/0!</v>
      </c>
      <c r="N131" s="85" t="s">
        <v>71</v>
      </c>
      <c r="O131" s="87">
        <v>7</v>
      </c>
      <c r="U131" s="161"/>
    </row>
    <row r="132" spans="2:21" ht="15" customHeight="1" thickBot="1">
      <c r="B132" s="278" t="s">
        <v>7</v>
      </c>
      <c r="C132" s="281"/>
      <c r="D132" s="279"/>
      <c r="E132" s="22">
        <f>SUM(E124:E131)</f>
        <v>127</v>
      </c>
      <c r="F132" s="22">
        <f>SUM(F124:F131)</f>
        <v>7</v>
      </c>
      <c r="G132" s="22">
        <f>SUM(G124:G131)</f>
        <v>25</v>
      </c>
      <c r="H132" s="22">
        <f t="shared" si="21"/>
        <v>32</v>
      </c>
      <c r="I132" s="23">
        <f t="shared" si="22"/>
        <v>0.25196850393700787</v>
      </c>
      <c r="N132" s="83" t="s">
        <v>72</v>
      </c>
      <c r="O132" s="88">
        <v>7</v>
      </c>
      <c r="U132" s="161"/>
    </row>
    <row r="133" spans="14:21" ht="15" customHeight="1" thickTop="1">
      <c r="N133" s="91" t="s">
        <v>238</v>
      </c>
      <c r="O133" s="92">
        <f>SUM(O131:O132)</f>
        <v>14</v>
      </c>
      <c r="U133" s="161"/>
    </row>
    <row r="134" spans="2:21" ht="15" customHeight="1">
      <c r="B134" s="251" t="s">
        <v>141</v>
      </c>
      <c r="C134" s="252"/>
      <c r="D134" s="252"/>
      <c r="E134" s="252"/>
      <c r="F134" s="252"/>
      <c r="G134" s="252"/>
      <c r="H134" s="252"/>
      <c r="I134" s="252"/>
      <c r="J134" s="252"/>
      <c r="K134" s="253"/>
      <c r="N134" s="84"/>
      <c r="O134" s="89"/>
      <c r="U134" s="161"/>
    </row>
    <row r="135" spans="2:21" ht="15" customHeight="1" thickBot="1">
      <c r="B135" s="54" t="s">
        <v>15</v>
      </c>
      <c r="C135" s="54" t="s">
        <v>16</v>
      </c>
      <c r="D135" s="54" t="s">
        <v>17</v>
      </c>
      <c r="E135" s="54" t="s">
        <v>2</v>
      </c>
      <c r="F135" s="54" t="s">
        <v>18</v>
      </c>
      <c r="G135" s="54" t="s">
        <v>19</v>
      </c>
      <c r="H135" s="54" t="s">
        <v>20</v>
      </c>
      <c r="I135" s="54" t="s">
        <v>21</v>
      </c>
      <c r="J135" s="54" t="s">
        <v>22</v>
      </c>
      <c r="K135" s="54" t="s">
        <v>6</v>
      </c>
      <c r="N135" s="83" t="s">
        <v>73</v>
      </c>
      <c r="O135" s="90">
        <v>5</v>
      </c>
      <c r="U135" s="161"/>
    </row>
    <row r="136" spans="2:21" ht="15" customHeight="1" thickTop="1">
      <c r="B136" s="121"/>
      <c r="C136" s="121"/>
      <c r="D136" s="122"/>
      <c r="E136" s="121"/>
      <c r="F136" s="121"/>
      <c r="G136" s="121"/>
      <c r="H136" s="121"/>
      <c r="I136" s="121"/>
      <c r="J136" s="121"/>
      <c r="K136" s="43">
        <f>(F136*2)+G136+(H136*4)+(I136*10)+J136</f>
        <v>0</v>
      </c>
      <c r="N136" s="83" t="s">
        <v>74</v>
      </c>
      <c r="O136" s="90">
        <v>42</v>
      </c>
      <c r="U136" s="161"/>
    </row>
    <row r="137" spans="2:21" ht="15" customHeight="1" thickBot="1">
      <c r="B137" s="108"/>
      <c r="C137" s="108"/>
      <c r="D137" s="110"/>
      <c r="E137" s="113"/>
      <c r="F137" s="113"/>
      <c r="G137" s="113"/>
      <c r="H137" s="113"/>
      <c r="I137" s="113"/>
      <c r="J137" s="113"/>
      <c r="K137" s="36">
        <f>(F137*2)+G137+(H137*4)+(I137*10)+J137</f>
        <v>0</v>
      </c>
      <c r="N137" s="83" t="s">
        <v>75</v>
      </c>
      <c r="O137" s="90"/>
      <c r="U137" s="161"/>
    </row>
    <row r="138" spans="2:21" ht="15" customHeight="1">
      <c r="B138" s="274" t="s">
        <v>26</v>
      </c>
      <c r="C138" s="275"/>
      <c r="D138" s="255"/>
      <c r="E138" s="14">
        <f aca="true" t="shared" si="23" ref="E138:J138">SUM(E135:E137)</f>
        <v>0</v>
      </c>
      <c r="F138" s="14">
        <f t="shared" si="23"/>
        <v>0</v>
      </c>
      <c r="G138" s="14">
        <f t="shared" si="23"/>
        <v>0</v>
      </c>
      <c r="H138" s="14">
        <f t="shared" si="23"/>
        <v>0</v>
      </c>
      <c r="I138" s="14">
        <f t="shared" si="23"/>
        <v>0</v>
      </c>
      <c r="J138" s="14">
        <f t="shared" si="23"/>
        <v>0</v>
      </c>
      <c r="K138" s="14">
        <f>(F138*2)+G138+(H138*4)+(I138*10)+J138</f>
        <v>0</v>
      </c>
      <c r="N138" s="83" t="s">
        <v>76</v>
      </c>
      <c r="O138" s="90"/>
      <c r="U138" s="161"/>
    </row>
    <row r="139" spans="2:21" ht="15" customHeight="1">
      <c r="B139" s="251" t="s">
        <v>140</v>
      </c>
      <c r="C139" s="252"/>
      <c r="D139" s="252"/>
      <c r="E139" s="252"/>
      <c r="F139" s="252"/>
      <c r="G139" s="252"/>
      <c r="H139" s="252"/>
      <c r="I139" s="253"/>
      <c r="N139" s="83" t="s">
        <v>79</v>
      </c>
      <c r="O139" s="90"/>
      <c r="U139" s="161"/>
    </row>
    <row r="140" spans="1:21" ht="15" customHeight="1" thickBot="1">
      <c r="A140" s="54" t="s">
        <v>143</v>
      </c>
      <c r="B140" s="54" t="s">
        <v>15</v>
      </c>
      <c r="C140" s="54" t="s">
        <v>29</v>
      </c>
      <c r="D140" s="54" t="s">
        <v>17</v>
      </c>
      <c r="E140" s="54" t="s">
        <v>2</v>
      </c>
      <c r="F140" s="54" t="s">
        <v>21</v>
      </c>
      <c r="G140" s="54" t="s">
        <v>30</v>
      </c>
      <c r="H140" s="54" t="s">
        <v>6</v>
      </c>
      <c r="I140" s="54" t="s">
        <v>11</v>
      </c>
      <c r="N140" s="83" t="s">
        <v>77</v>
      </c>
      <c r="O140" s="90">
        <v>2</v>
      </c>
      <c r="U140" s="161"/>
    </row>
    <row r="141" spans="1:21" ht="15" customHeight="1" thickTop="1">
      <c r="A141" s="202" t="s">
        <v>145</v>
      </c>
      <c r="B141" s="185">
        <f>'[1]POOL-joueus'!$B$791</f>
        <v>22.84931506849315</v>
      </c>
      <c r="C141" s="185" t="str">
        <f>'[1]POOL-joueus'!$C$791</f>
        <v>Chi</v>
      </c>
      <c r="D141" s="186" t="str">
        <f>'[1]POOL-joueus'!$D$791</f>
        <v>Kris Versteeg</v>
      </c>
      <c r="E141" s="189">
        <v>2</v>
      </c>
      <c r="F141" s="189">
        <v>1</v>
      </c>
      <c r="G141" s="189">
        <v>3</v>
      </c>
      <c r="H141" s="140">
        <f aca="true" t="shared" si="24" ref="H141:H148">SUM(F141:G141)</f>
        <v>4</v>
      </c>
      <c r="I141" s="199">
        <f aca="true" t="shared" si="25" ref="I141:I149">H141/E141</f>
        <v>2</v>
      </c>
      <c r="N141" s="83" t="s">
        <v>78</v>
      </c>
      <c r="O141" s="90"/>
      <c r="U141" s="161"/>
    </row>
    <row r="142" spans="1:21" ht="15" customHeight="1">
      <c r="A142" s="14" t="s">
        <v>235</v>
      </c>
      <c r="B142" s="106">
        <f>'[1]POOL-joueus'!$B$623</f>
        <v>19.161643835616438</v>
      </c>
      <c r="C142" s="106" t="str">
        <f>'[1]POOL-joueus'!$C$623</f>
        <v>Stl</v>
      </c>
      <c r="D142" s="126" t="str">
        <f>'[1]POOL-joueus'!$D$623</f>
        <v>Alex Pietrangelo</v>
      </c>
      <c r="E142" s="106">
        <f>('[1]POOL-joueus'!$E$623)-3</f>
        <v>5</v>
      </c>
      <c r="F142" s="106">
        <f>('[1]POOL-joueus'!$F$623)-0</f>
        <v>0</v>
      </c>
      <c r="G142" s="106">
        <f>('[1]POOL-joueus'!$G$623)-0</f>
        <v>1</v>
      </c>
      <c r="H142" s="22">
        <f t="shared" si="24"/>
        <v>1</v>
      </c>
      <c r="I142" s="29">
        <f t="shared" si="25"/>
        <v>0.2</v>
      </c>
      <c r="N142" s="84"/>
      <c r="O142" s="89"/>
      <c r="U142" s="161"/>
    </row>
    <row r="143" spans="1:21" ht="15" customHeight="1">
      <c r="A143" s="14" t="s">
        <v>145</v>
      </c>
      <c r="B143" s="106">
        <f>'[1]POOL-joueus'!$B$806</f>
        <v>19.95068493150685</v>
      </c>
      <c r="C143" s="106" t="str">
        <f>'[1]POOL-joueus'!$C$806</f>
        <v>Phi</v>
      </c>
      <c r="D143" s="126" t="str">
        <f>'[1]POOL-joueus'!$D$806</f>
        <v>James VanRiemsdyk</v>
      </c>
      <c r="E143" s="106">
        <f>'[1]POOL-joueus'!$E$806</f>
        <v>0</v>
      </c>
      <c r="F143" s="106">
        <f>'[1]POOL-joueus'!$F$806</f>
        <v>0</v>
      </c>
      <c r="G143" s="106">
        <f>'[1]POOL-joueus'!$G$806</f>
        <v>0</v>
      </c>
      <c r="H143" s="22">
        <f>SUM(F143:G143)</f>
        <v>0</v>
      </c>
      <c r="I143" s="29" t="e">
        <f>H143/E143</f>
        <v>#DIV/0!</v>
      </c>
      <c r="N143" s="93" t="s">
        <v>80</v>
      </c>
      <c r="O143" s="94">
        <f>SUM(O133:O141)</f>
        <v>63</v>
      </c>
      <c r="U143" s="161"/>
    </row>
    <row r="144" spans="1:21" ht="15" customHeight="1">
      <c r="A144" s="43" t="s">
        <v>145</v>
      </c>
      <c r="B144" s="106">
        <f>'[1]POOL-joueus'!$B$804</f>
        <v>19.76164383561644</v>
      </c>
      <c r="C144" s="106" t="str">
        <f>'[1]POOL-joueus'!$C$804</f>
        <v>Mtl</v>
      </c>
      <c r="D144" s="126" t="str">
        <f>'[1]POOL-joueus'!$D$804</f>
        <v>Ryan Mcdonagh</v>
      </c>
      <c r="E144" s="106">
        <f>'[1]POOL-joueus'!$E$804</f>
        <v>0</v>
      </c>
      <c r="F144" s="106">
        <f>'[1]POOL-joueus'!$F$804</f>
        <v>0</v>
      </c>
      <c r="G144" s="106">
        <f>'[1]POOL-joueus'!$G$804</f>
        <v>0</v>
      </c>
      <c r="H144" s="22">
        <f t="shared" si="24"/>
        <v>0</v>
      </c>
      <c r="I144" s="29" t="e">
        <f>H144/E144</f>
        <v>#DIV/0!</v>
      </c>
      <c r="U144" s="161"/>
    </row>
    <row r="145" spans="1:21" ht="15" customHeight="1">
      <c r="A145" s="201" t="s">
        <v>235</v>
      </c>
      <c r="B145" s="107">
        <f>'[1]POOL-joueus'!$B$433</f>
        <v>23.526027397260275</v>
      </c>
      <c r="C145" s="107" t="str">
        <f>'[1]POOL-joueus'!$C$433</f>
        <v>L.A.</v>
      </c>
      <c r="D145" s="124" t="str">
        <f>'[1]POOL-joueus'!$D$433</f>
        <v>Ted Purcell</v>
      </c>
      <c r="E145" s="107">
        <f>'[1]POOL-joueus'!$E$433</f>
        <v>25</v>
      </c>
      <c r="F145" s="107">
        <f>'[1]POOL-joueus'!$F$433</f>
        <v>3</v>
      </c>
      <c r="G145" s="107">
        <f>'[1]POOL-joueus'!$G$433</f>
        <v>10</v>
      </c>
      <c r="H145" s="22">
        <f t="shared" si="24"/>
        <v>13</v>
      </c>
      <c r="I145" s="29">
        <f t="shared" si="25"/>
        <v>0.52</v>
      </c>
      <c r="J145" s="128" t="s">
        <v>77</v>
      </c>
      <c r="U145" s="161"/>
    </row>
    <row r="146" spans="1:21" ht="15" customHeight="1">
      <c r="A146" s="180" t="s">
        <v>145</v>
      </c>
      <c r="B146" s="189">
        <f>'[1]POOL-joueus'!$B$768</f>
        <v>23.635616438356163</v>
      </c>
      <c r="C146" s="189" t="str">
        <f>'[1]POOL-joueus'!$C$768</f>
        <v>Pit</v>
      </c>
      <c r="D146" s="190" t="str">
        <f>'[1]POOL-joueus'!$D$768</f>
        <v>Alex Goligoski</v>
      </c>
      <c r="E146" s="189">
        <v>5</v>
      </c>
      <c r="F146" s="189">
        <v>0</v>
      </c>
      <c r="G146" s="189">
        <v>1</v>
      </c>
      <c r="H146" s="139">
        <f>SUM(F146:G146)</f>
        <v>1</v>
      </c>
      <c r="I146" s="199">
        <f>H146/E146</f>
        <v>0.2</v>
      </c>
      <c r="J146" s="128"/>
      <c r="U146" s="161"/>
    </row>
    <row r="147" spans="1:21" ht="15" customHeight="1">
      <c r="A147" s="43" t="s">
        <v>145</v>
      </c>
      <c r="B147" s="180">
        <f>'[1]POOL-joueus'!$B$766</f>
        <v>20.323287671232876</v>
      </c>
      <c r="C147" s="180" t="str">
        <f>'[1]POOL-joueus'!$C$766</f>
        <v>Mtl</v>
      </c>
      <c r="D147" s="181" t="str">
        <f>'[1]POOL-joueus'!$D$766</f>
        <v>Max Pacioretty</v>
      </c>
      <c r="E147" s="180">
        <v>4</v>
      </c>
      <c r="F147" s="180">
        <v>2</v>
      </c>
      <c r="G147" s="180">
        <v>1</v>
      </c>
      <c r="H147" s="139">
        <f t="shared" si="24"/>
        <v>3</v>
      </c>
      <c r="I147" s="199">
        <f t="shared" si="25"/>
        <v>0.75</v>
      </c>
      <c r="J147" s="128"/>
      <c r="L147" s="129"/>
      <c r="U147" s="161"/>
    </row>
    <row r="148" spans="2:21" ht="15" customHeight="1" thickBot="1">
      <c r="B148" s="107">
        <f>'[1]POOL-joueus'!$B$792</f>
        <v>22.64109589041096</v>
      </c>
      <c r="C148" s="107" t="str">
        <f>'[1]POOL-joueus'!$C$792</f>
        <v>Nyr</v>
      </c>
      <c r="D148" s="124" t="str">
        <f>'[1]POOL-joueus'!$D$792</f>
        <v>Lauri Korpikoski</v>
      </c>
      <c r="E148" s="123">
        <f>(('[1]POOL-joueus'!$E$792)-5)-1</f>
        <v>48</v>
      </c>
      <c r="F148" s="123">
        <f>(('[1]POOL-joueus'!$F$792)-0)</f>
        <v>6</v>
      </c>
      <c r="G148" s="123">
        <f>(('[1]POOL-joueus'!$G$792)-0)</f>
        <v>8</v>
      </c>
      <c r="H148" s="114">
        <f t="shared" si="24"/>
        <v>14</v>
      </c>
      <c r="I148" s="115">
        <f t="shared" si="25"/>
        <v>0.2916666666666667</v>
      </c>
      <c r="L148" s="129"/>
      <c r="U148" s="161"/>
    </row>
    <row r="149" spans="2:21" ht="15" customHeight="1">
      <c r="B149" s="278" t="s">
        <v>7</v>
      </c>
      <c r="C149" s="281"/>
      <c r="D149" s="279"/>
      <c r="E149" s="22">
        <f>SUM(E141:E148)</f>
        <v>89</v>
      </c>
      <c r="F149" s="22">
        <f>SUM(F141:F148)</f>
        <v>12</v>
      </c>
      <c r="G149" s="22">
        <f>SUM(G141:G148)</f>
        <v>24</v>
      </c>
      <c r="H149" s="22">
        <f>SUM(H141:H148)</f>
        <v>36</v>
      </c>
      <c r="I149" s="23">
        <f t="shared" si="25"/>
        <v>0.4044943820224719</v>
      </c>
      <c r="L149" s="129"/>
      <c r="U149" s="161"/>
    </row>
    <row r="150" spans="2:21" ht="15" customHeight="1">
      <c r="B150" s="76"/>
      <c r="C150" s="76"/>
      <c r="D150" s="76"/>
      <c r="E150" s="53"/>
      <c r="F150" s="53"/>
      <c r="G150" s="53"/>
      <c r="H150" s="53"/>
      <c r="I150" s="77"/>
      <c r="L150" s="129"/>
      <c r="U150" s="161"/>
    </row>
    <row r="151" spans="2:21" ht="15" customHeight="1">
      <c r="B151" s="278" t="s">
        <v>142</v>
      </c>
      <c r="C151" s="281"/>
      <c r="D151" s="279"/>
      <c r="E151" s="109">
        <f>E138+E149</f>
        <v>89</v>
      </c>
      <c r="F151" s="112"/>
      <c r="G151" s="112"/>
      <c r="H151" s="28">
        <f>K138+H149</f>
        <v>36</v>
      </c>
      <c r="I151" s="29">
        <f>H151/E151</f>
        <v>0.4044943820224719</v>
      </c>
      <c r="L151" s="129"/>
      <c r="U151" s="161"/>
    </row>
    <row r="152" spans="2:21" ht="15" customHeight="1">
      <c r="B152" s="76"/>
      <c r="C152" s="76"/>
      <c r="D152" s="76"/>
      <c r="E152" s="53"/>
      <c r="F152" s="53"/>
      <c r="G152" s="53"/>
      <c r="H152" s="53"/>
      <c r="I152" s="77"/>
      <c r="L152" s="129"/>
      <c r="U152" s="161"/>
    </row>
    <row r="153" spans="2:21" ht="15" customHeight="1">
      <c r="B153" s="78"/>
      <c r="C153" s="78"/>
      <c r="D153" s="78"/>
      <c r="E153" s="79"/>
      <c r="F153" s="79"/>
      <c r="G153" s="79"/>
      <c r="H153" s="79"/>
      <c r="I153" s="80"/>
      <c r="J153" s="81"/>
      <c r="K153" s="81"/>
      <c r="L153" s="129"/>
      <c r="U153" s="161"/>
    </row>
    <row r="154" spans="12:21" ht="15" customHeight="1" thickBot="1">
      <c r="L154" s="129"/>
      <c r="U154" s="161"/>
    </row>
    <row r="155" spans="2:21" ht="13.5" thickBot="1">
      <c r="B155" s="284" t="s">
        <v>49</v>
      </c>
      <c r="C155" s="285"/>
      <c r="D155" s="285"/>
      <c r="E155" s="285"/>
      <c r="F155" s="285"/>
      <c r="G155" s="285"/>
      <c r="H155" s="285"/>
      <c r="I155" s="285"/>
      <c r="J155" s="285"/>
      <c r="K155" s="286"/>
      <c r="L155" s="129"/>
      <c r="U155" s="161"/>
    </row>
    <row r="156" spans="2:21" ht="12.75">
      <c r="B156" s="287" t="s">
        <v>50</v>
      </c>
      <c r="C156" s="288"/>
      <c r="D156" s="58" t="s">
        <v>51</v>
      </c>
      <c r="E156" s="287" t="s">
        <v>52</v>
      </c>
      <c r="F156" s="288"/>
      <c r="G156" s="287" t="s">
        <v>53</v>
      </c>
      <c r="H156" s="289"/>
      <c r="I156" s="288"/>
      <c r="J156" s="287" t="s">
        <v>54</v>
      </c>
      <c r="K156" s="288"/>
      <c r="U156" s="161"/>
    </row>
    <row r="157" spans="2:21" ht="12.75">
      <c r="B157" s="259" t="s">
        <v>185</v>
      </c>
      <c r="C157" s="260"/>
      <c r="D157" s="47" t="s">
        <v>228</v>
      </c>
      <c r="E157" s="259" t="s">
        <v>192</v>
      </c>
      <c r="F157" s="260"/>
      <c r="G157" s="259" t="s">
        <v>229</v>
      </c>
      <c r="H157" s="261"/>
      <c r="I157" s="260"/>
      <c r="J157" s="259" t="s">
        <v>230</v>
      </c>
      <c r="K157" s="260"/>
      <c r="L157" s="81"/>
      <c r="U157" s="161"/>
    </row>
    <row r="158" spans="2:21" ht="12.75">
      <c r="B158" s="259" t="s">
        <v>234</v>
      </c>
      <c r="C158" s="260"/>
      <c r="D158" s="47" t="s">
        <v>226</v>
      </c>
      <c r="E158" s="259" t="s">
        <v>250</v>
      </c>
      <c r="F158" s="260"/>
      <c r="G158" s="259" t="s">
        <v>257</v>
      </c>
      <c r="H158" s="261"/>
      <c r="I158" s="260"/>
      <c r="J158" s="259" t="s">
        <v>258</v>
      </c>
      <c r="K158" s="260"/>
      <c r="U158" s="161"/>
    </row>
    <row r="159" spans="2:21" ht="12.75">
      <c r="B159" s="259" t="s">
        <v>77</v>
      </c>
      <c r="C159" s="260"/>
      <c r="D159" s="47" t="s">
        <v>262</v>
      </c>
      <c r="E159" s="259" t="s">
        <v>250</v>
      </c>
      <c r="F159" s="260"/>
      <c r="G159" s="259" t="s">
        <v>263</v>
      </c>
      <c r="H159" s="261"/>
      <c r="I159" s="260"/>
      <c r="J159" s="259" t="s">
        <v>264</v>
      </c>
      <c r="K159" s="260"/>
      <c r="U159" s="161"/>
    </row>
    <row r="160" spans="2:21" ht="12.75">
      <c r="B160" s="259" t="s">
        <v>71</v>
      </c>
      <c r="C160" s="260"/>
      <c r="D160" s="47" t="s">
        <v>285</v>
      </c>
      <c r="E160" s="259" t="s">
        <v>250</v>
      </c>
      <c r="F160" s="260"/>
      <c r="G160" s="259" t="s">
        <v>286</v>
      </c>
      <c r="H160" s="261"/>
      <c r="I160" s="260"/>
      <c r="J160" s="259" t="s">
        <v>287</v>
      </c>
      <c r="K160" s="260"/>
      <c r="U160" s="161"/>
    </row>
    <row r="161" spans="2:21" ht="12.75">
      <c r="B161" s="259" t="s">
        <v>304</v>
      </c>
      <c r="C161" s="260"/>
      <c r="D161" s="47" t="s">
        <v>305</v>
      </c>
      <c r="E161" s="259" t="s">
        <v>254</v>
      </c>
      <c r="F161" s="260"/>
      <c r="G161" s="259" t="s">
        <v>306</v>
      </c>
      <c r="H161" s="261"/>
      <c r="I161" s="260"/>
      <c r="J161" s="259" t="s">
        <v>307</v>
      </c>
      <c r="K161" s="260"/>
      <c r="U161" s="161"/>
    </row>
    <row r="162" spans="2:21" ht="12.75">
      <c r="B162" s="259" t="s">
        <v>308</v>
      </c>
      <c r="C162" s="260"/>
      <c r="D162" s="47" t="s">
        <v>257</v>
      </c>
      <c r="E162" s="259" t="s">
        <v>250</v>
      </c>
      <c r="F162" s="260"/>
      <c r="G162" s="259" t="s">
        <v>309</v>
      </c>
      <c r="H162" s="261"/>
      <c r="I162" s="260"/>
      <c r="J162" s="259" t="s">
        <v>310</v>
      </c>
      <c r="K162" s="260"/>
      <c r="U162" s="161"/>
    </row>
    <row r="163" spans="2:21" ht="12.75">
      <c r="B163" s="259" t="s">
        <v>234</v>
      </c>
      <c r="C163" s="260"/>
      <c r="D163" s="47" t="s">
        <v>351</v>
      </c>
      <c r="E163" s="259" t="s">
        <v>250</v>
      </c>
      <c r="F163" s="260"/>
      <c r="G163" s="259" t="s">
        <v>352</v>
      </c>
      <c r="H163" s="261"/>
      <c r="I163" s="260"/>
      <c r="J163" s="259" t="s">
        <v>353</v>
      </c>
      <c r="K163" s="260"/>
      <c r="U163" s="161"/>
    </row>
    <row r="164" spans="2:21" ht="12.75">
      <c r="B164" s="259" t="s">
        <v>308</v>
      </c>
      <c r="C164" s="260"/>
      <c r="D164" s="47" t="s">
        <v>354</v>
      </c>
      <c r="E164" s="259" t="s">
        <v>250</v>
      </c>
      <c r="F164" s="260"/>
      <c r="G164" s="259" t="s">
        <v>355</v>
      </c>
      <c r="H164" s="261"/>
      <c r="I164" s="260"/>
      <c r="J164" s="259" t="s">
        <v>353</v>
      </c>
      <c r="K164" s="260"/>
      <c r="U164" s="161"/>
    </row>
    <row r="165" spans="2:21" ht="12.75">
      <c r="B165" s="259" t="s">
        <v>71</v>
      </c>
      <c r="C165" s="260"/>
      <c r="D165" s="47" t="s">
        <v>263</v>
      </c>
      <c r="E165" s="259" t="s">
        <v>250</v>
      </c>
      <c r="F165" s="260"/>
      <c r="G165" s="259" t="s">
        <v>356</v>
      </c>
      <c r="H165" s="261"/>
      <c r="I165" s="260"/>
      <c r="J165" s="259" t="s">
        <v>353</v>
      </c>
      <c r="K165" s="260"/>
      <c r="U165" s="161"/>
    </row>
    <row r="166" spans="2:21" ht="12.75">
      <c r="B166" s="259" t="s">
        <v>234</v>
      </c>
      <c r="C166" s="260"/>
      <c r="D166" s="47" t="s">
        <v>352</v>
      </c>
      <c r="E166" s="259" t="s">
        <v>250</v>
      </c>
      <c r="F166" s="260"/>
      <c r="G166" s="259" t="s">
        <v>351</v>
      </c>
      <c r="H166" s="261"/>
      <c r="I166" s="260"/>
      <c r="J166" s="259" t="s">
        <v>363</v>
      </c>
      <c r="K166" s="260"/>
      <c r="U166" s="161"/>
    </row>
    <row r="167" spans="2:21" ht="12" customHeight="1">
      <c r="B167" s="259" t="s">
        <v>234</v>
      </c>
      <c r="C167" s="260"/>
      <c r="D167" s="47" t="s">
        <v>364</v>
      </c>
      <c r="E167" s="259" t="s">
        <v>250</v>
      </c>
      <c r="F167" s="260"/>
      <c r="G167" s="259" t="s">
        <v>365</v>
      </c>
      <c r="H167" s="261"/>
      <c r="I167" s="260"/>
      <c r="J167" s="259" t="s">
        <v>366</v>
      </c>
      <c r="K167" s="260"/>
      <c r="U167" s="161"/>
    </row>
    <row r="168" spans="2:21" ht="13.5" customHeight="1">
      <c r="B168" s="259" t="s">
        <v>234</v>
      </c>
      <c r="C168" s="260"/>
      <c r="D168" s="47" t="s">
        <v>372</v>
      </c>
      <c r="E168" s="259" t="s">
        <v>250</v>
      </c>
      <c r="F168" s="260"/>
      <c r="G168" s="259" t="s">
        <v>257</v>
      </c>
      <c r="H168" s="261"/>
      <c r="I168" s="260"/>
      <c r="J168" s="259" t="s">
        <v>373</v>
      </c>
      <c r="K168" s="260"/>
      <c r="U168" s="161"/>
    </row>
    <row r="169" spans="2:21" ht="12.75">
      <c r="B169" s="259" t="s">
        <v>308</v>
      </c>
      <c r="C169" s="260"/>
      <c r="D169" s="47" t="s">
        <v>365</v>
      </c>
      <c r="E169" s="259" t="s">
        <v>250</v>
      </c>
      <c r="F169" s="260"/>
      <c r="G169" s="259" t="s">
        <v>364</v>
      </c>
      <c r="H169" s="261"/>
      <c r="I169" s="260"/>
      <c r="J169" s="259" t="s">
        <v>373</v>
      </c>
      <c r="K169" s="260"/>
      <c r="U169" s="161"/>
    </row>
    <row r="170" spans="2:21" ht="12.75">
      <c r="B170" s="259" t="s">
        <v>234</v>
      </c>
      <c r="C170" s="260"/>
      <c r="D170" s="47" t="s">
        <v>376</v>
      </c>
      <c r="E170" s="259" t="s">
        <v>250</v>
      </c>
      <c r="F170" s="260"/>
      <c r="G170" s="259" t="s">
        <v>377</v>
      </c>
      <c r="H170" s="261"/>
      <c r="I170" s="260"/>
      <c r="J170" s="259" t="s">
        <v>378</v>
      </c>
      <c r="K170" s="260"/>
      <c r="U170" s="161"/>
    </row>
    <row r="171" spans="2:21" ht="12.75">
      <c r="B171" s="259" t="s">
        <v>71</v>
      </c>
      <c r="C171" s="260"/>
      <c r="D171" s="47" t="s">
        <v>379</v>
      </c>
      <c r="E171" s="259" t="s">
        <v>250</v>
      </c>
      <c r="F171" s="260"/>
      <c r="G171" s="259" t="s">
        <v>380</v>
      </c>
      <c r="H171" s="261"/>
      <c r="I171" s="260"/>
      <c r="J171" s="259" t="s">
        <v>378</v>
      </c>
      <c r="K171" s="260"/>
      <c r="U171" s="161"/>
    </row>
    <row r="172" spans="2:21" ht="12.75">
      <c r="B172" s="259" t="s">
        <v>308</v>
      </c>
      <c r="C172" s="260"/>
      <c r="D172" s="47" t="s">
        <v>407</v>
      </c>
      <c r="E172" s="259" t="s">
        <v>250</v>
      </c>
      <c r="F172" s="260"/>
      <c r="G172" s="259" t="s">
        <v>364</v>
      </c>
      <c r="H172" s="261"/>
      <c r="I172" s="260"/>
      <c r="J172" s="259" t="s">
        <v>408</v>
      </c>
      <c r="K172" s="260"/>
      <c r="U172" s="161"/>
    </row>
    <row r="173" spans="2:21" ht="12.75">
      <c r="B173" s="259" t="s">
        <v>308</v>
      </c>
      <c r="C173" s="260"/>
      <c r="D173" s="47" t="s">
        <v>417</v>
      </c>
      <c r="E173" s="259" t="s">
        <v>250</v>
      </c>
      <c r="F173" s="260"/>
      <c r="G173" s="259" t="s">
        <v>351</v>
      </c>
      <c r="H173" s="261"/>
      <c r="I173" s="260"/>
      <c r="J173" s="259" t="s">
        <v>418</v>
      </c>
      <c r="K173" s="260"/>
      <c r="U173" s="161"/>
    </row>
    <row r="174" spans="2:21" ht="12.75">
      <c r="B174" s="259" t="s">
        <v>308</v>
      </c>
      <c r="C174" s="260"/>
      <c r="D174" s="47" t="s">
        <v>286</v>
      </c>
      <c r="E174" s="259" t="s">
        <v>250</v>
      </c>
      <c r="F174" s="260"/>
      <c r="G174" s="259" t="s">
        <v>436</v>
      </c>
      <c r="H174" s="261"/>
      <c r="I174" s="260"/>
      <c r="J174" s="259" t="s">
        <v>437</v>
      </c>
      <c r="K174" s="260"/>
      <c r="U174" s="161"/>
    </row>
    <row r="175" spans="2:21" ht="12.75">
      <c r="B175" s="259" t="s">
        <v>234</v>
      </c>
      <c r="C175" s="260"/>
      <c r="D175" s="47" t="s">
        <v>351</v>
      </c>
      <c r="E175" s="259" t="s">
        <v>250</v>
      </c>
      <c r="F175" s="260"/>
      <c r="G175" s="259" t="s">
        <v>438</v>
      </c>
      <c r="H175" s="261"/>
      <c r="I175" s="260"/>
      <c r="J175" s="259" t="s">
        <v>437</v>
      </c>
      <c r="K175" s="260"/>
      <c r="U175" s="161"/>
    </row>
    <row r="176" spans="2:21" ht="12.75">
      <c r="B176" s="259" t="s">
        <v>308</v>
      </c>
      <c r="C176" s="260"/>
      <c r="D176" s="47" t="s">
        <v>438</v>
      </c>
      <c r="E176" s="259" t="s">
        <v>250</v>
      </c>
      <c r="F176" s="260"/>
      <c r="G176" s="259" t="s">
        <v>351</v>
      </c>
      <c r="H176" s="261"/>
      <c r="I176" s="260"/>
      <c r="J176" s="259" t="s">
        <v>479</v>
      </c>
      <c r="K176" s="260"/>
      <c r="U176" s="161"/>
    </row>
    <row r="177" spans="2:21" ht="12.75">
      <c r="B177" s="259" t="s">
        <v>71</v>
      </c>
      <c r="C177" s="260"/>
      <c r="D177" s="47" t="s">
        <v>380</v>
      </c>
      <c r="E177" s="259" t="s">
        <v>250</v>
      </c>
      <c r="F177" s="260"/>
      <c r="G177" s="259" t="s">
        <v>379</v>
      </c>
      <c r="H177" s="261"/>
      <c r="I177" s="260"/>
      <c r="J177" s="259" t="s">
        <v>529</v>
      </c>
      <c r="K177" s="260"/>
      <c r="U177" s="161"/>
    </row>
    <row r="178" spans="2:21" ht="12.75">
      <c r="B178" s="259" t="s">
        <v>304</v>
      </c>
      <c r="C178" s="260"/>
      <c r="D178" s="47" t="s">
        <v>538</v>
      </c>
      <c r="E178" s="259" t="s">
        <v>254</v>
      </c>
      <c r="F178" s="260"/>
      <c r="G178" s="259" t="s">
        <v>539</v>
      </c>
      <c r="H178" s="261"/>
      <c r="I178" s="260"/>
      <c r="J178" s="259" t="s">
        <v>542</v>
      </c>
      <c r="K178" s="260"/>
      <c r="U178" s="161"/>
    </row>
    <row r="179" spans="2:21" ht="12.75">
      <c r="B179" s="259" t="s">
        <v>304</v>
      </c>
      <c r="C179" s="260"/>
      <c r="D179" s="47" t="s">
        <v>540</v>
      </c>
      <c r="E179" s="259" t="s">
        <v>254</v>
      </c>
      <c r="F179" s="290"/>
      <c r="G179" s="259" t="s">
        <v>541</v>
      </c>
      <c r="H179" s="261"/>
      <c r="I179" s="260"/>
      <c r="J179" s="259" t="s">
        <v>542</v>
      </c>
      <c r="K179" s="260"/>
      <c r="U179" s="161"/>
    </row>
    <row r="180" spans="2:21" ht="12.75">
      <c r="B180" s="259" t="s">
        <v>234</v>
      </c>
      <c r="C180" s="260"/>
      <c r="D180" s="168" t="s">
        <v>543</v>
      </c>
      <c r="E180" s="259" t="s">
        <v>250</v>
      </c>
      <c r="F180" s="290"/>
      <c r="G180" s="262" t="s">
        <v>541</v>
      </c>
      <c r="H180" s="291"/>
      <c r="I180" s="292"/>
      <c r="J180" s="259" t="s">
        <v>544</v>
      </c>
      <c r="K180" s="260"/>
      <c r="U180" s="161"/>
    </row>
    <row r="181" spans="2:21" ht="12.75">
      <c r="B181" s="259" t="s">
        <v>71</v>
      </c>
      <c r="C181" s="260"/>
      <c r="D181" s="168" t="s">
        <v>379</v>
      </c>
      <c r="E181" s="259" t="s">
        <v>250</v>
      </c>
      <c r="F181" s="290"/>
      <c r="G181" s="262" t="s">
        <v>380</v>
      </c>
      <c r="H181" s="291"/>
      <c r="I181" s="292"/>
      <c r="J181" s="259" t="s">
        <v>594</v>
      </c>
      <c r="K181" s="260"/>
      <c r="U181" s="161"/>
    </row>
    <row r="182" spans="2:11" ht="12.75">
      <c r="B182" s="259" t="s">
        <v>185</v>
      </c>
      <c r="C182" s="260"/>
      <c r="D182" s="47" t="s">
        <v>615</v>
      </c>
      <c r="E182" s="259" t="s">
        <v>210</v>
      </c>
      <c r="F182" s="260"/>
      <c r="G182" s="259" t="s">
        <v>346</v>
      </c>
      <c r="H182" s="261"/>
      <c r="I182" s="260"/>
      <c r="J182" s="259" t="s">
        <v>616</v>
      </c>
      <c r="K182" s="260"/>
    </row>
    <row r="183" spans="2:11" ht="12.75">
      <c r="B183" s="259" t="s">
        <v>563</v>
      </c>
      <c r="C183" s="260"/>
      <c r="D183" s="259" t="s">
        <v>618</v>
      </c>
      <c r="E183" s="261"/>
      <c r="F183" s="261"/>
      <c r="G183" s="261"/>
      <c r="H183" s="261"/>
      <c r="I183" s="260"/>
      <c r="J183" s="259" t="s">
        <v>616</v>
      </c>
      <c r="K183" s="260"/>
    </row>
    <row r="184" spans="2:11" ht="12.75">
      <c r="B184" s="259" t="s">
        <v>308</v>
      </c>
      <c r="C184" s="260"/>
      <c r="D184" s="47" t="s">
        <v>634</v>
      </c>
      <c r="E184" s="259" t="s">
        <v>250</v>
      </c>
      <c r="F184" s="260"/>
      <c r="G184" s="259" t="s">
        <v>543</v>
      </c>
      <c r="H184" s="261"/>
      <c r="I184" s="260"/>
      <c r="J184" s="259" t="s">
        <v>637</v>
      </c>
      <c r="K184" s="260"/>
    </row>
    <row r="185" spans="2:11" ht="12.75">
      <c r="B185" s="259" t="s">
        <v>234</v>
      </c>
      <c r="C185" s="260"/>
      <c r="D185" s="151" t="s">
        <v>635</v>
      </c>
      <c r="E185" s="259" t="s">
        <v>250</v>
      </c>
      <c r="F185" s="260"/>
      <c r="G185" s="262" t="s">
        <v>636</v>
      </c>
      <c r="H185" s="261"/>
      <c r="I185" s="260"/>
      <c r="J185" s="259" t="s">
        <v>637</v>
      </c>
      <c r="K185" s="260"/>
    </row>
    <row r="186" spans="2:11" ht="12.75">
      <c r="B186" s="259" t="s">
        <v>234</v>
      </c>
      <c r="C186" s="260"/>
      <c r="D186" s="47" t="s">
        <v>638</v>
      </c>
      <c r="E186" s="259" t="s">
        <v>250</v>
      </c>
      <c r="F186" s="260"/>
      <c r="G186" s="259" t="s">
        <v>438</v>
      </c>
      <c r="H186" s="261"/>
      <c r="I186" s="260"/>
      <c r="J186" s="259" t="s">
        <v>637</v>
      </c>
      <c r="K186" s="260"/>
    </row>
    <row r="187" spans="2:11" ht="12.75">
      <c r="B187" s="259" t="s">
        <v>308</v>
      </c>
      <c r="C187" s="260"/>
      <c r="D187" s="47" t="s">
        <v>438</v>
      </c>
      <c r="E187" s="259" t="s">
        <v>250</v>
      </c>
      <c r="F187" s="260"/>
      <c r="G187" s="259" t="s">
        <v>638</v>
      </c>
      <c r="H187" s="261"/>
      <c r="I187" s="260"/>
      <c r="J187" s="259" t="s">
        <v>639</v>
      </c>
      <c r="K187" s="260"/>
    </row>
    <row r="188" spans="2:11" ht="12.75">
      <c r="B188" s="259" t="s">
        <v>304</v>
      </c>
      <c r="C188" s="260"/>
      <c r="D188" s="47" t="s">
        <v>661</v>
      </c>
      <c r="E188" s="259" t="s">
        <v>254</v>
      </c>
      <c r="F188" s="260"/>
      <c r="G188" s="259" t="s">
        <v>662</v>
      </c>
      <c r="H188" s="261"/>
      <c r="I188" s="260"/>
      <c r="J188" s="259" t="s">
        <v>663</v>
      </c>
      <c r="K188" s="260"/>
    </row>
    <row r="189" spans="2:11" ht="12.75">
      <c r="B189" s="259" t="s">
        <v>288</v>
      </c>
      <c r="C189" s="260"/>
      <c r="D189" s="47" t="s">
        <v>662</v>
      </c>
      <c r="E189" s="259" t="s">
        <v>250</v>
      </c>
      <c r="F189" s="260"/>
      <c r="G189" s="259" t="s">
        <v>539</v>
      </c>
      <c r="H189" s="261"/>
      <c r="I189" s="260"/>
      <c r="J189" s="259" t="s">
        <v>663</v>
      </c>
      <c r="K189" s="260"/>
    </row>
    <row r="190" spans="2:11" ht="12.75">
      <c r="B190" s="259" t="s">
        <v>71</v>
      </c>
      <c r="C190" s="260"/>
      <c r="D190" s="47" t="s">
        <v>380</v>
      </c>
      <c r="E190" s="259" t="s">
        <v>250</v>
      </c>
      <c r="F190" s="260"/>
      <c r="G190" s="259" t="s">
        <v>379</v>
      </c>
      <c r="H190" s="261"/>
      <c r="I190" s="260"/>
      <c r="J190" s="259" t="s">
        <v>692</v>
      </c>
      <c r="K190" s="260"/>
    </row>
    <row r="191" spans="2:11" ht="12.75">
      <c r="B191" s="259" t="s">
        <v>234</v>
      </c>
      <c r="C191" s="260"/>
      <c r="D191" s="47" t="s">
        <v>351</v>
      </c>
      <c r="E191" s="259" t="s">
        <v>250</v>
      </c>
      <c r="F191" s="260"/>
      <c r="G191" s="259" t="s">
        <v>438</v>
      </c>
      <c r="H191" s="261"/>
      <c r="I191" s="260"/>
      <c r="J191" s="259" t="s">
        <v>693</v>
      </c>
      <c r="K191" s="260"/>
    </row>
    <row r="192" spans="2:11" ht="12.75">
      <c r="B192" s="259" t="s">
        <v>308</v>
      </c>
      <c r="C192" s="260"/>
      <c r="D192" s="47" t="s">
        <v>438</v>
      </c>
      <c r="E192" s="259" t="s">
        <v>250</v>
      </c>
      <c r="F192" s="260"/>
      <c r="G192" s="259" t="s">
        <v>351</v>
      </c>
      <c r="H192" s="261"/>
      <c r="I192" s="260"/>
      <c r="J192" s="259" t="s">
        <v>779</v>
      </c>
      <c r="K192" s="260"/>
    </row>
    <row r="193" spans="2:11" ht="12.75">
      <c r="B193" s="259" t="s">
        <v>234</v>
      </c>
      <c r="C193" s="260"/>
      <c r="D193" s="47" t="s">
        <v>372</v>
      </c>
      <c r="E193" s="259" t="s">
        <v>250</v>
      </c>
      <c r="F193" s="260"/>
      <c r="G193" s="259" t="s">
        <v>346</v>
      </c>
      <c r="H193" s="261"/>
      <c r="I193" s="260"/>
      <c r="J193" s="259" t="s">
        <v>807</v>
      </c>
      <c r="K193" s="260"/>
    </row>
    <row r="194" spans="2:11" ht="12.75">
      <c r="B194" s="259" t="s">
        <v>234</v>
      </c>
      <c r="C194" s="260"/>
      <c r="D194" s="47" t="s">
        <v>364</v>
      </c>
      <c r="E194" s="259" t="s">
        <v>250</v>
      </c>
      <c r="F194" s="260"/>
      <c r="G194" s="259" t="s">
        <v>285</v>
      </c>
      <c r="H194" s="261"/>
      <c r="I194" s="260"/>
      <c r="J194" s="259" t="s">
        <v>812</v>
      </c>
      <c r="K194" s="260"/>
    </row>
    <row r="195" spans="2:11" ht="12.75">
      <c r="B195" s="259" t="s">
        <v>234</v>
      </c>
      <c r="C195" s="260"/>
      <c r="D195" s="47" t="s">
        <v>351</v>
      </c>
      <c r="E195" s="259" t="s">
        <v>250</v>
      </c>
      <c r="F195" s="260"/>
      <c r="G195" s="259" t="s">
        <v>438</v>
      </c>
      <c r="H195" s="261"/>
      <c r="I195" s="260"/>
      <c r="J195" s="259" t="s">
        <v>840</v>
      </c>
      <c r="K195" s="260"/>
    </row>
    <row r="196" spans="2:11" ht="12.75">
      <c r="B196" s="259" t="s">
        <v>304</v>
      </c>
      <c r="C196" s="260"/>
      <c r="D196" s="47" t="s">
        <v>858</v>
      </c>
      <c r="E196" s="259" t="s">
        <v>254</v>
      </c>
      <c r="F196" s="260"/>
      <c r="G196" s="259" t="s">
        <v>859</v>
      </c>
      <c r="H196" s="261"/>
      <c r="I196" s="260"/>
      <c r="J196" s="259" t="s">
        <v>860</v>
      </c>
      <c r="K196" s="260"/>
    </row>
    <row r="197" spans="2:11" ht="12.75">
      <c r="B197" s="259" t="s">
        <v>308</v>
      </c>
      <c r="C197" s="260"/>
      <c r="D197" s="47" t="s">
        <v>285</v>
      </c>
      <c r="E197" s="259" t="s">
        <v>250</v>
      </c>
      <c r="F197" s="260"/>
      <c r="G197" s="259" t="s">
        <v>866</v>
      </c>
      <c r="H197" s="261"/>
      <c r="I197" s="260"/>
      <c r="J197" s="259" t="s">
        <v>867</v>
      </c>
      <c r="K197" s="260"/>
    </row>
    <row r="198" spans="2:11" ht="12.75">
      <c r="B198" s="259" t="s">
        <v>308</v>
      </c>
      <c r="C198" s="260"/>
      <c r="D198" s="47" t="s">
        <v>346</v>
      </c>
      <c r="E198" s="259" t="s">
        <v>250</v>
      </c>
      <c r="F198" s="260"/>
      <c r="G198" s="259" t="s">
        <v>364</v>
      </c>
      <c r="H198" s="261"/>
      <c r="I198" s="260"/>
      <c r="J198" s="259" t="s">
        <v>903</v>
      </c>
      <c r="K198" s="260"/>
    </row>
    <row r="199" spans="2:11" ht="12.75">
      <c r="B199" s="259" t="s">
        <v>234</v>
      </c>
      <c r="C199" s="260"/>
      <c r="D199" s="47" t="s">
        <v>904</v>
      </c>
      <c r="E199" s="259" t="s">
        <v>250</v>
      </c>
      <c r="F199" s="260"/>
      <c r="G199" s="259" t="s">
        <v>407</v>
      </c>
      <c r="H199" s="261"/>
      <c r="I199" s="260"/>
      <c r="J199" s="259" t="s">
        <v>903</v>
      </c>
      <c r="K199" s="260"/>
    </row>
    <row r="200" spans="2:11" ht="12.75">
      <c r="B200" s="259" t="s">
        <v>234</v>
      </c>
      <c r="C200" s="260"/>
      <c r="D200" s="47" t="s">
        <v>407</v>
      </c>
      <c r="E200" s="259" t="s">
        <v>250</v>
      </c>
      <c r="F200" s="260"/>
      <c r="G200" s="259" t="s">
        <v>904</v>
      </c>
      <c r="H200" s="261"/>
      <c r="I200" s="260"/>
      <c r="J200" s="259" t="s">
        <v>918</v>
      </c>
      <c r="K200" s="260"/>
    </row>
    <row r="201" spans="2:11" ht="12.75">
      <c r="B201" s="259" t="s">
        <v>516</v>
      </c>
      <c r="C201" s="260"/>
      <c r="D201" s="47" t="s">
        <v>922</v>
      </c>
      <c r="E201" s="259" t="s">
        <v>250</v>
      </c>
      <c r="F201" s="260"/>
      <c r="G201" s="259" t="s">
        <v>923</v>
      </c>
      <c r="H201" s="261"/>
      <c r="I201" s="260"/>
      <c r="J201" s="259" t="s">
        <v>924</v>
      </c>
      <c r="K201" s="260"/>
    </row>
    <row r="202" spans="2:11" ht="12.75">
      <c r="B202" s="259" t="s">
        <v>234</v>
      </c>
      <c r="C202" s="260"/>
      <c r="D202" s="47" t="s">
        <v>915</v>
      </c>
      <c r="E202" s="259" t="s">
        <v>250</v>
      </c>
      <c r="F202" s="260"/>
      <c r="G202" s="259" t="s">
        <v>942</v>
      </c>
      <c r="H202" s="261"/>
      <c r="I202" s="260"/>
      <c r="J202" s="259" t="s">
        <v>943</v>
      </c>
      <c r="K202" s="260"/>
    </row>
    <row r="203" spans="2:11" ht="12.75">
      <c r="B203" s="259" t="s">
        <v>185</v>
      </c>
      <c r="C203" s="260"/>
      <c r="D203" s="47" t="s">
        <v>355</v>
      </c>
      <c r="E203" s="259" t="s">
        <v>250</v>
      </c>
      <c r="F203" s="260"/>
      <c r="G203" s="259" t="s">
        <v>452</v>
      </c>
      <c r="H203" s="261"/>
      <c r="I203" s="260"/>
      <c r="J203" s="259" t="s">
        <v>944</v>
      </c>
      <c r="K203" s="260"/>
    </row>
    <row r="204" spans="2:11" ht="12.75">
      <c r="B204" s="259"/>
      <c r="C204" s="260"/>
      <c r="D204" s="259" t="s">
        <v>945</v>
      </c>
      <c r="E204" s="261"/>
      <c r="F204" s="261"/>
      <c r="G204" s="261"/>
      <c r="H204" s="261"/>
      <c r="I204" s="260"/>
      <c r="J204" s="259" t="s">
        <v>944</v>
      </c>
      <c r="K204" s="260"/>
    </row>
    <row r="205" spans="2:11" ht="12.75">
      <c r="B205" s="259" t="s">
        <v>234</v>
      </c>
      <c r="C205" s="260"/>
      <c r="D205" s="47" t="s">
        <v>503</v>
      </c>
      <c r="E205" s="259" t="s">
        <v>250</v>
      </c>
      <c r="F205" s="260"/>
      <c r="G205" s="259" t="s">
        <v>915</v>
      </c>
      <c r="H205" s="261"/>
      <c r="I205" s="260"/>
      <c r="J205" s="259" t="s">
        <v>959</v>
      </c>
      <c r="K205" s="260"/>
    </row>
    <row r="206" spans="2:11" ht="12.75">
      <c r="B206" s="259" t="s">
        <v>234</v>
      </c>
      <c r="C206" s="260"/>
      <c r="D206" s="47" t="s">
        <v>979</v>
      </c>
      <c r="E206" s="259" t="s">
        <v>250</v>
      </c>
      <c r="F206" s="260"/>
      <c r="G206" s="259" t="s">
        <v>980</v>
      </c>
      <c r="H206" s="261"/>
      <c r="I206" s="260"/>
      <c r="J206" s="259" t="s">
        <v>981</v>
      </c>
      <c r="K206" s="260"/>
    </row>
    <row r="207" spans="2:11" ht="12.75">
      <c r="B207" s="259" t="s">
        <v>308</v>
      </c>
      <c r="C207" s="260"/>
      <c r="D207" s="47" t="s">
        <v>417</v>
      </c>
      <c r="E207" s="259" t="s">
        <v>250</v>
      </c>
      <c r="F207" s="260"/>
      <c r="G207" s="259" t="s">
        <v>503</v>
      </c>
      <c r="H207" s="261"/>
      <c r="I207" s="260"/>
      <c r="J207" s="259" t="s">
        <v>981</v>
      </c>
      <c r="K207" s="260"/>
    </row>
    <row r="208" spans="2:11" ht="12.75">
      <c r="B208" s="259" t="s">
        <v>234</v>
      </c>
      <c r="C208" s="260"/>
      <c r="D208" s="47" t="s">
        <v>922</v>
      </c>
      <c r="E208" s="259" t="s">
        <v>250</v>
      </c>
      <c r="F208" s="260"/>
      <c r="G208" s="259" t="s">
        <v>986</v>
      </c>
      <c r="H208" s="261"/>
      <c r="I208" s="260"/>
      <c r="J208" s="259" t="s">
        <v>987</v>
      </c>
      <c r="K208" s="260"/>
    </row>
    <row r="209" spans="2:11" ht="12.75">
      <c r="B209" s="259" t="s">
        <v>234</v>
      </c>
      <c r="C209" s="260"/>
      <c r="D209" s="47" t="s">
        <v>986</v>
      </c>
      <c r="E209" s="259" t="s">
        <v>250</v>
      </c>
      <c r="F209" s="260"/>
      <c r="G209" s="259" t="s">
        <v>990</v>
      </c>
      <c r="H209" s="261"/>
      <c r="I209" s="260"/>
      <c r="J209" s="259" t="s">
        <v>991</v>
      </c>
      <c r="K209" s="260"/>
    </row>
    <row r="210" spans="2:11" ht="12.75">
      <c r="B210" s="259" t="s">
        <v>308</v>
      </c>
      <c r="C210" s="260"/>
      <c r="D210" s="47" t="s">
        <v>352</v>
      </c>
      <c r="E210" s="259" t="s">
        <v>250</v>
      </c>
      <c r="F210" s="260"/>
      <c r="G210" s="259" t="s">
        <v>438</v>
      </c>
      <c r="H210" s="261"/>
      <c r="I210" s="260"/>
      <c r="J210" s="259" t="s">
        <v>991</v>
      </c>
      <c r="K210" s="260"/>
    </row>
    <row r="211" spans="2:11" ht="12.75">
      <c r="B211" s="259" t="s">
        <v>308</v>
      </c>
      <c r="C211" s="260"/>
      <c r="D211" s="47" t="s">
        <v>990</v>
      </c>
      <c r="E211" s="259" t="s">
        <v>250</v>
      </c>
      <c r="F211" s="260"/>
      <c r="G211" s="259" t="s">
        <v>1015</v>
      </c>
      <c r="H211" s="261"/>
      <c r="I211" s="260"/>
      <c r="J211" s="259" t="s">
        <v>1016</v>
      </c>
      <c r="K211" s="260"/>
    </row>
    <row r="212" spans="2:11" ht="12.75">
      <c r="B212" s="259" t="s">
        <v>234</v>
      </c>
      <c r="C212" s="260"/>
      <c r="D212" s="47" t="s">
        <v>1026</v>
      </c>
      <c r="E212" s="259" t="s">
        <v>250</v>
      </c>
      <c r="F212" s="260"/>
      <c r="G212" s="259" t="s">
        <v>417</v>
      </c>
      <c r="H212" s="261"/>
      <c r="I212" s="260"/>
      <c r="J212" s="259" t="s">
        <v>1027</v>
      </c>
      <c r="K212" s="260"/>
    </row>
    <row r="213" spans="2:11" ht="12.75">
      <c r="B213" s="259" t="s">
        <v>874</v>
      </c>
      <c r="C213" s="260"/>
      <c r="D213" s="47" t="s">
        <v>417</v>
      </c>
      <c r="E213" s="259" t="s">
        <v>250</v>
      </c>
      <c r="F213" s="260"/>
      <c r="G213" s="259" t="s">
        <v>351</v>
      </c>
      <c r="H213" s="261"/>
      <c r="I213" s="260"/>
      <c r="J213" s="259" t="s">
        <v>1057</v>
      </c>
      <c r="K213" s="260"/>
    </row>
    <row r="214" spans="2:11" ht="38.25">
      <c r="B214" s="259" t="s">
        <v>185</v>
      </c>
      <c r="C214" s="260"/>
      <c r="D214" s="151" t="s">
        <v>1108</v>
      </c>
      <c r="E214" s="259" t="s">
        <v>198</v>
      </c>
      <c r="F214" s="260"/>
      <c r="G214" s="262" t="s">
        <v>1109</v>
      </c>
      <c r="H214" s="261"/>
      <c r="I214" s="260"/>
      <c r="J214" s="259" t="s">
        <v>1110</v>
      </c>
      <c r="K214" s="260"/>
    </row>
    <row r="215" spans="2:11" ht="12.75">
      <c r="B215" s="259" t="s">
        <v>185</v>
      </c>
      <c r="C215" s="260"/>
      <c r="D215" s="47" t="s">
        <v>1133</v>
      </c>
      <c r="E215" s="259" t="s">
        <v>210</v>
      </c>
      <c r="F215" s="260"/>
      <c r="G215" s="259" t="s">
        <v>1134</v>
      </c>
      <c r="H215" s="261"/>
      <c r="I215" s="260"/>
      <c r="J215" s="259" t="s">
        <v>1132</v>
      </c>
      <c r="K215" s="260"/>
    </row>
    <row r="216" spans="2:11" ht="12.75">
      <c r="B216" s="259" t="s">
        <v>304</v>
      </c>
      <c r="C216" s="260"/>
      <c r="D216" s="47" t="s">
        <v>1135</v>
      </c>
      <c r="E216" s="259" t="s">
        <v>254</v>
      </c>
      <c r="F216" s="260"/>
      <c r="G216" s="259" t="s">
        <v>1136</v>
      </c>
      <c r="H216" s="261"/>
      <c r="I216" s="260"/>
      <c r="J216" s="259" t="s">
        <v>1137</v>
      </c>
      <c r="K216" s="260"/>
    </row>
    <row r="217" spans="2:11" ht="12.75">
      <c r="B217" s="259" t="s">
        <v>234</v>
      </c>
      <c r="C217" s="260"/>
      <c r="D217" s="47" t="s">
        <v>1149</v>
      </c>
      <c r="E217" s="259" t="s">
        <v>250</v>
      </c>
      <c r="F217" s="260"/>
      <c r="G217" s="259" t="s">
        <v>1150</v>
      </c>
      <c r="H217" s="261"/>
      <c r="I217" s="260"/>
      <c r="J217" s="259" t="s">
        <v>1151</v>
      </c>
      <c r="K217" s="260"/>
    </row>
    <row r="218" spans="2:11" ht="12.75">
      <c r="B218" s="259"/>
      <c r="C218" s="260"/>
      <c r="D218" s="47"/>
      <c r="E218" s="259"/>
      <c r="F218" s="260"/>
      <c r="G218" s="259"/>
      <c r="H218" s="261"/>
      <c r="I218" s="260"/>
      <c r="J218" s="259"/>
      <c r="K218" s="260"/>
    </row>
  </sheetData>
  <mergeCells count="307">
    <mergeCell ref="B212:C212"/>
    <mergeCell ref="E212:F212"/>
    <mergeCell ref="G212:I212"/>
    <mergeCell ref="J212:K212"/>
    <mergeCell ref="B211:C211"/>
    <mergeCell ref="E211:F211"/>
    <mergeCell ref="G211:I211"/>
    <mergeCell ref="J211:K211"/>
    <mergeCell ref="B210:C210"/>
    <mergeCell ref="E210:F210"/>
    <mergeCell ref="G210:I210"/>
    <mergeCell ref="J210:K210"/>
    <mergeCell ref="B209:C209"/>
    <mergeCell ref="E209:F209"/>
    <mergeCell ref="G209:I209"/>
    <mergeCell ref="J209:K209"/>
    <mergeCell ref="B208:C208"/>
    <mergeCell ref="E208:F208"/>
    <mergeCell ref="G208:I208"/>
    <mergeCell ref="J208:K208"/>
    <mergeCell ref="B207:C207"/>
    <mergeCell ref="E207:F207"/>
    <mergeCell ref="G207:I207"/>
    <mergeCell ref="J207:K207"/>
    <mergeCell ref="B206:C206"/>
    <mergeCell ref="E206:F206"/>
    <mergeCell ref="G206:I206"/>
    <mergeCell ref="J206:K206"/>
    <mergeCell ref="B204:C204"/>
    <mergeCell ref="J204:K204"/>
    <mergeCell ref="D204:I204"/>
    <mergeCell ref="B205:C205"/>
    <mergeCell ref="E205:F205"/>
    <mergeCell ref="G205:I205"/>
    <mergeCell ref="J205:K205"/>
    <mergeCell ref="B203:C203"/>
    <mergeCell ref="E203:F203"/>
    <mergeCell ref="G203:I203"/>
    <mergeCell ref="J203:K203"/>
    <mergeCell ref="W10:AB10"/>
    <mergeCell ref="X35:Y35"/>
    <mergeCell ref="W40:AB40"/>
    <mergeCell ref="X34:Y34"/>
    <mergeCell ref="X11:Y11"/>
    <mergeCell ref="X30:Y30"/>
    <mergeCell ref="X31:Y31"/>
    <mergeCell ref="Z11:AA11"/>
    <mergeCell ref="Z30:AA30"/>
    <mergeCell ref="Z31:AA31"/>
    <mergeCell ref="B202:C202"/>
    <mergeCell ref="E202:F202"/>
    <mergeCell ref="G202:I202"/>
    <mergeCell ref="J202:K202"/>
    <mergeCell ref="B201:C201"/>
    <mergeCell ref="E201:F201"/>
    <mergeCell ref="G201:I201"/>
    <mergeCell ref="J201:K201"/>
    <mergeCell ref="B200:C200"/>
    <mergeCell ref="E200:F200"/>
    <mergeCell ref="G200:I200"/>
    <mergeCell ref="J200:K200"/>
    <mergeCell ref="B199:C199"/>
    <mergeCell ref="E199:F199"/>
    <mergeCell ref="G199:I199"/>
    <mergeCell ref="J199:K199"/>
    <mergeCell ref="B198:C198"/>
    <mergeCell ref="E198:F198"/>
    <mergeCell ref="G198:I198"/>
    <mergeCell ref="J198:K198"/>
    <mergeCell ref="B197:C197"/>
    <mergeCell ref="E197:F197"/>
    <mergeCell ref="G197:I197"/>
    <mergeCell ref="J197:K197"/>
    <mergeCell ref="B196:C196"/>
    <mergeCell ref="E196:F196"/>
    <mergeCell ref="G196:I196"/>
    <mergeCell ref="J196:K196"/>
    <mergeCell ref="B195:C195"/>
    <mergeCell ref="E195:F195"/>
    <mergeCell ref="G195:I195"/>
    <mergeCell ref="J195:K195"/>
    <mergeCell ref="B194:C194"/>
    <mergeCell ref="E194:F194"/>
    <mergeCell ref="G194:I194"/>
    <mergeCell ref="J194:K194"/>
    <mergeCell ref="B193:C193"/>
    <mergeCell ref="E193:F193"/>
    <mergeCell ref="G193:I193"/>
    <mergeCell ref="J193:K193"/>
    <mergeCell ref="B192:C192"/>
    <mergeCell ref="E192:F192"/>
    <mergeCell ref="G192:I192"/>
    <mergeCell ref="J192:K192"/>
    <mergeCell ref="B191:C191"/>
    <mergeCell ref="E191:F191"/>
    <mergeCell ref="G191:I191"/>
    <mergeCell ref="J191:K191"/>
    <mergeCell ref="B190:C190"/>
    <mergeCell ref="E190:F190"/>
    <mergeCell ref="G190:I190"/>
    <mergeCell ref="J190:K190"/>
    <mergeCell ref="B189:C189"/>
    <mergeCell ref="E189:F189"/>
    <mergeCell ref="G189:I189"/>
    <mergeCell ref="J189:K189"/>
    <mergeCell ref="B188:C188"/>
    <mergeCell ref="E188:F188"/>
    <mergeCell ref="G188:I188"/>
    <mergeCell ref="J188:K188"/>
    <mergeCell ref="B187:C187"/>
    <mergeCell ref="E187:F187"/>
    <mergeCell ref="G187:I187"/>
    <mergeCell ref="J187:K187"/>
    <mergeCell ref="B186:C186"/>
    <mergeCell ref="J186:K186"/>
    <mergeCell ref="B185:C185"/>
    <mergeCell ref="E185:F185"/>
    <mergeCell ref="G185:I185"/>
    <mergeCell ref="J185:K185"/>
    <mergeCell ref="E186:F186"/>
    <mergeCell ref="G186:I186"/>
    <mergeCell ref="B184:C184"/>
    <mergeCell ref="E184:F184"/>
    <mergeCell ref="G184:I184"/>
    <mergeCell ref="J184:K184"/>
    <mergeCell ref="B183:C183"/>
    <mergeCell ref="J183:K183"/>
    <mergeCell ref="D183:I183"/>
    <mergeCell ref="J181:K181"/>
    <mergeCell ref="B182:C182"/>
    <mergeCell ref="E182:F182"/>
    <mergeCell ref="G182:I182"/>
    <mergeCell ref="J182:K182"/>
    <mergeCell ref="B181:C181"/>
    <mergeCell ref="E181:F181"/>
    <mergeCell ref="G181:I181"/>
    <mergeCell ref="B180:C180"/>
    <mergeCell ref="E180:F180"/>
    <mergeCell ref="J180:K180"/>
    <mergeCell ref="G180:I180"/>
    <mergeCell ref="B179:C179"/>
    <mergeCell ref="E179:F179"/>
    <mergeCell ref="G179:I179"/>
    <mergeCell ref="J179:K179"/>
    <mergeCell ref="B178:C178"/>
    <mergeCell ref="E178:F178"/>
    <mergeCell ref="G178:I178"/>
    <mergeCell ref="J178:K178"/>
    <mergeCell ref="B177:C177"/>
    <mergeCell ref="E177:F177"/>
    <mergeCell ref="G177:I177"/>
    <mergeCell ref="J177:K177"/>
    <mergeCell ref="B176:C176"/>
    <mergeCell ref="E176:F176"/>
    <mergeCell ref="G176:I176"/>
    <mergeCell ref="J176:K176"/>
    <mergeCell ref="B175:C175"/>
    <mergeCell ref="E175:F175"/>
    <mergeCell ref="G175:I175"/>
    <mergeCell ref="J175:K175"/>
    <mergeCell ref="B174:C174"/>
    <mergeCell ref="E174:F174"/>
    <mergeCell ref="G174:I174"/>
    <mergeCell ref="J174:K174"/>
    <mergeCell ref="B173:C173"/>
    <mergeCell ref="E173:F173"/>
    <mergeCell ref="G173:I173"/>
    <mergeCell ref="J173:K173"/>
    <mergeCell ref="B172:C172"/>
    <mergeCell ref="E172:F172"/>
    <mergeCell ref="G172:I172"/>
    <mergeCell ref="J172:K172"/>
    <mergeCell ref="B171:C171"/>
    <mergeCell ref="E171:F171"/>
    <mergeCell ref="G171:I171"/>
    <mergeCell ref="J171:K171"/>
    <mergeCell ref="B170:C170"/>
    <mergeCell ref="E170:F170"/>
    <mergeCell ref="G170:I170"/>
    <mergeCell ref="J170:K170"/>
    <mergeCell ref="B169:C169"/>
    <mergeCell ref="E169:F169"/>
    <mergeCell ref="G169:I169"/>
    <mergeCell ref="J169:K169"/>
    <mergeCell ref="B168:C168"/>
    <mergeCell ref="E168:F168"/>
    <mergeCell ref="G168:I168"/>
    <mergeCell ref="J168:K168"/>
    <mergeCell ref="B167:C167"/>
    <mergeCell ref="E167:F167"/>
    <mergeCell ref="G167:I167"/>
    <mergeCell ref="J167:K167"/>
    <mergeCell ref="B166:C166"/>
    <mergeCell ref="E166:F166"/>
    <mergeCell ref="G166:I166"/>
    <mergeCell ref="J166:K166"/>
    <mergeCell ref="B165:C165"/>
    <mergeCell ref="E165:F165"/>
    <mergeCell ref="G165:I165"/>
    <mergeCell ref="J165:K165"/>
    <mergeCell ref="B164:C164"/>
    <mergeCell ref="E164:F164"/>
    <mergeCell ref="G164:I164"/>
    <mergeCell ref="J164:K164"/>
    <mergeCell ref="B163:C163"/>
    <mergeCell ref="E163:F163"/>
    <mergeCell ref="G163:I163"/>
    <mergeCell ref="J163:K163"/>
    <mergeCell ref="B162:C162"/>
    <mergeCell ref="E162:F162"/>
    <mergeCell ref="G162:I162"/>
    <mergeCell ref="J162:K162"/>
    <mergeCell ref="B161:C161"/>
    <mergeCell ref="E161:F161"/>
    <mergeCell ref="G161:I161"/>
    <mergeCell ref="J161:K161"/>
    <mergeCell ref="B160:C160"/>
    <mergeCell ref="E160:F160"/>
    <mergeCell ref="G160:I160"/>
    <mergeCell ref="J160:K160"/>
    <mergeCell ref="B159:C159"/>
    <mergeCell ref="E159:F159"/>
    <mergeCell ref="G159:I159"/>
    <mergeCell ref="J159:K159"/>
    <mergeCell ref="B158:C158"/>
    <mergeCell ref="E158:F158"/>
    <mergeCell ref="G158:I158"/>
    <mergeCell ref="J158:K158"/>
    <mergeCell ref="B157:C157"/>
    <mergeCell ref="E157:F157"/>
    <mergeCell ref="G157:I157"/>
    <mergeCell ref="J157:K157"/>
    <mergeCell ref="B155:K155"/>
    <mergeCell ref="B156:C156"/>
    <mergeCell ref="E156:F156"/>
    <mergeCell ref="G156:I156"/>
    <mergeCell ref="J156:K156"/>
    <mergeCell ref="B138:D138"/>
    <mergeCell ref="B139:I139"/>
    <mergeCell ref="B149:D149"/>
    <mergeCell ref="B151:D151"/>
    <mergeCell ref="B120:D120"/>
    <mergeCell ref="B122:I122"/>
    <mergeCell ref="B132:D132"/>
    <mergeCell ref="B134:K134"/>
    <mergeCell ref="B76:K76"/>
    <mergeCell ref="B110:D110"/>
    <mergeCell ref="B91:D91"/>
    <mergeCell ref="C80:D80"/>
    <mergeCell ref="B112:I112"/>
    <mergeCell ref="W57:Y57"/>
    <mergeCell ref="AA57:AC57"/>
    <mergeCell ref="B83:K83"/>
    <mergeCell ref="B93:I93"/>
    <mergeCell ref="C78:D78"/>
    <mergeCell ref="C79:D79"/>
    <mergeCell ref="C81:D81"/>
    <mergeCell ref="B67:I67"/>
    <mergeCell ref="B74:D74"/>
    <mergeCell ref="B52:I52"/>
    <mergeCell ref="N43:S43"/>
    <mergeCell ref="B65:D65"/>
    <mergeCell ref="W55:AC55"/>
    <mergeCell ref="B40:D40"/>
    <mergeCell ref="N30:R30"/>
    <mergeCell ref="B42:I42"/>
    <mergeCell ref="B50:D50"/>
    <mergeCell ref="Z34:AA34"/>
    <mergeCell ref="Z35:AA35"/>
    <mergeCell ref="B6:K6"/>
    <mergeCell ref="C9:D9"/>
    <mergeCell ref="C10:D10"/>
    <mergeCell ref="N10:R10"/>
    <mergeCell ref="C12:D12"/>
    <mergeCell ref="B14:K14"/>
    <mergeCell ref="B21:D21"/>
    <mergeCell ref="B23:I23"/>
    <mergeCell ref="C11:D11"/>
    <mergeCell ref="X32:Y32"/>
    <mergeCell ref="X33:Y33"/>
    <mergeCell ref="Z32:AA32"/>
    <mergeCell ref="Z33:AA33"/>
    <mergeCell ref="N20:R20"/>
    <mergeCell ref="B213:C213"/>
    <mergeCell ref="E213:F213"/>
    <mergeCell ref="G213:I213"/>
    <mergeCell ref="J213:K213"/>
    <mergeCell ref="B214:C214"/>
    <mergeCell ref="E214:F214"/>
    <mergeCell ref="G214:I214"/>
    <mergeCell ref="J214:K214"/>
    <mergeCell ref="B215:C215"/>
    <mergeCell ref="E215:F215"/>
    <mergeCell ref="G215:I215"/>
    <mergeCell ref="J215:K215"/>
    <mergeCell ref="B216:C216"/>
    <mergeCell ref="E216:F216"/>
    <mergeCell ref="G216:I216"/>
    <mergeCell ref="J216:K216"/>
    <mergeCell ref="B217:C217"/>
    <mergeCell ref="E217:F217"/>
    <mergeCell ref="G217:I217"/>
    <mergeCell ref="J217:K217"/>
    <mergeCell ref="B218:C218"/>
    <mergeCell ref="E218:F218"/>
    <mergeCell ref="G218:I218"/>
    <mergeCell ref="J218:K218"/>
  </mergeCells>
  <printOptions/>
  <pageMargins left="0.75" right="0.75" top="1" bottom="1" header="0.4921259845" footer="0.4921259845"/>
  <pageSetup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262"/>
  <sheetViews>
    <sheetView workbookViewId="0" topLeftCell="A1">
      <selection activeCell="D20" sqref="D20"/>
    </sheetView>
  </sheetViews>
  <sheetFormatPr defaultColWidth="11.421875" defaultRowHeight="12.75"/>
  <cols>
    <col min="1" max="1" width="3.7109375" style="1" customWidth="1"/>
    <col min="2" max="2" width="4.421875" style="1" customWidth="1"/>
    <col min="3" max="3" width="7.140625" style="1" customWidth="1"/>
    <col min="4" max="4" width="17.7109375" style="1" customWidth="1"/>
    <col min="5" max="7" width="5.57421875" style="1" customWidth="1"/>
    <col min="8" max="8" width="5.7109375" style="1" customWidth="1"/>
    <col min="9" max="9" width="7.00390625" style="1" customWidth="1"/>
    <col min="10" max="10" width="5.421875" style="1" customWidth="1"/>
    <col min="11" max="11" width="7.7109375" style="1" customWidth="1"/>
    <col min="12" max="12" width="2.57421875" style="1" customWidth="1"/>
    <col min="13" max="13" width="2.421875" style="1" customWidth="1"/>
    <col min="14" max="14" width="15.00390625" style="1" customWidth="1"/>
    <col min="15" max="16" width="8.00390625" style="1" customWidth="1"/>
    <col min="17" max="17" width="7.7109375" style="1" customWidth="1"/>
    <col min="18" max="18" width="12.57421875" style="1" customWidth="1"/>
    <col min="19" max="19" width="11.421875" style="1" customWidth="1"/>
    <col min="20" max="20" width="2.28125" style="1" customWidth="1"/>
    <col min="21" max="21" width="1.7109375" style="1" customWidth="1"/>
    <col min="22" max="22" width="2.140625" style="1" customWidth="1"/>
    <col min="23" max="23" width="14.00390625" style="1" customWidth="1"/>
    <col min="24" max="24" width="6.140625" style="1" customWidth="1"/>
    <col min="25" max="27" width="7.28125" style="1" customWidth="1"/>
    <col min="28" max="28" width="13.57421875" style="1" customWidth="1"/>
    <col min="29" max="16384" width="11.421875" style="1" customWidth="1"/>
  </cols>
  <sheetData>
    <row r="1" spans="8:27" ht="13.5">
      <c r="H1"/>
      <c r="I1"/>
      <c r="J1"/>
      <c r="M1" s="2"/>
      <c r="U1" s="161"/>
      <c r="W1" s="319" t="s">
        <v>172</v>
      </c>
      <c r="X1" s="320"/>
      <c r="Y1" s="321"/>
      <c r="Z1" s="174"/>
      <c r="AA1" s="174"/>
    </row>
    <row r="2" spans="8:27" ht="12.75">
      <c r="H2"/>
      <c r="I2"/>
      <c r="J2"/>
      <c r="M2" s="2"/>
      <c r="U2" s="161"/>
      <c r="W2" s="344" t="s">
        <v>169</v>
      </c>
      <c r="X2" s="344"/>
      <c r="Y2" s="344"/>
      <c r="Z2" s="175"/>
      <c r="AA2" s="175"/>
    </row>
    <row r="3" spans="8:27" ht="12.75">
      <c r="H3"/>
      <c r="I3"/>
      <c r="J3"/>
      <c r="M3" s="2"/>
      <c r="U3" s="161"/>
      <c r="W3" s="341" t="s">
        <v>173</v>
      </c>
      <c r="X3" s="342"/>
      <c r="Y3" s="343"/>
      <c r="Z3" s="175"/>
      <c r="AA3" s="175"/>
    </row>
    <row r="4" spans="8:27" ht="12.75">
      <c r="H4"/>
      <c r="I4"/>
      <c r="J4"/>
      <c r="M4" s="2"/>
      <c r="U4" s="161"/>
      <c r="W4" s="341" t="s">
        <v>174</v>
      </c>
      <c r="X4" s="342"/>
      <c r="Y4" s="343"/>
      <c r="Z4" s="175"/>
      <c r="AA4" s="175"/>
    </row>
    <row r="5" spans="8:27" ht="12.75">
      <c r="H5"/>
      <c r="I5"/>
      <c r="J5"/>
      <c r="M5" s="2"/>
      <c r="U5" s="161"/>
      <c r="W5" s="341"/>
      <c r="X5" s="342"/>
      <c r="Y5" s="343"/>
      <c r="Z5" s="175"/>
      <c r="AA5" s="175"/>
    </row>
    <row r="6" spans="2:21" ht="13.5">
      <c r="B6" s="270" t="s">
        <v>0</v>
      </c>
      <c r="C6" s="270"/>
      <c r="D6" s="270"/>
      <c r="E6" s="270"/>
      <c r="F6" s="270"/>
      <c r="G6" s="270"/>
      <c r="H6" s="270"/>
      <c r="I6" s="270"/>
      <c r="J6" s="270"/>
      <c r="K6" s="270"/>
      <c r="L6" s="3"/>
      <c r="M6" s="4"/>
      <c r="U6" s="161"/>
    </row>
    <row r="7" spans="2:21" ht="12.7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U7" s="161"/>
    </row>
    <row r="8" spans="2:21" ht="13.5" thickBo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/>
      <c r="U8" s="161"/>
    </row>
    <row r="9" spans="2:21" ht="15" customHeight="1" thickBot="1">
      <c r="B9" s="7"/>
      <c r="C9" s="271" t="s">
        <v>66</v>
      </c>
      <c r="D9" s="271"/>
      <c r="E9" s="9" t="s">
        <v>2</v>
      </c>
      <c r="F9" s="9" t="s">
        <v>3</v>
      </c>
      <c r="G9" s="9" t="s">
        <v>4</v>
      </c>
      <c r="H9" s="9" t="s">
        <v>5</v>
      </c>
      <c r="I9" s="10" t="s">
        <v>6</v>
      </c>
      <c r="J9" s="7"/>
      <c r="K9" s="7"/>
      <c r="L9" s="7"/>
      <c r="M9" s="8"/>
      <c r="U9" s="161"/>
    </row>
    <row r="10" spans="2:28" ht="15" customHeight="1" thickBot="1" thickTop="1">
      <c r="B10" s="7"/>
      <c r="C10" s="272" t="str">
        <f>'[1]Equipes-Pool'!$B$13</f>
        <v>Flyers De Philadelphie</v>
      </c>
      <c r="D10" s="273"/>
      <c r="E10" s="231">
        <f>(('[1]Equipes-Pool'!$C$13)-12)-43</f>
        <v>11</v>
      </c>
      <c r="F10" s="103">
        <f>(('[1]Equipes-Pool'!$D$13)-10)-59</f>
        <v>13</v>
      </c>
      <c r="G10" s="103">
        <f>(('[1]Equipes-Pool'!$E$13)-32)-147</f>
        <v>34</v>
      </c>
      <c r="H10" s="103">
        <f>(('[1]Equipes-Pool'!$F$13)-40)-121</f>
        <v>29</v>
      </c>
      <c r="I10" s="132">
        <f>F10+(G10-H10)</f>
        <v>18</v>
      </c>
      <c r="J10" s="7"/>
      <c r="K10" s="7"/>
      <c r="L10" s="7"/>
      <c r="M10" s="8"/>
      <c r="N10" s="265" t="s">
        <v>65</v>
      </c>
      <c r="O10" s="266"/>
      <c r="P10" s="266"/>
      <c r="Q10" s="266"/>
      <c r="R10" s="267"/>
      <c r="U10" s="161"/>
      <c r="W10" s="293" t="s">
        <v>171</v>
      </c>
      <c r="X10" s="294"/>
      <c r="Y10" s="294"/>
      <c r="Z10" s="294"/>
      <c r="AA10" s="294"/>
      <c r="AB10" s="295"/>
    </row>
    <row r="11" spans="2:28" ht="15" customHeight="1" thickBot="1">
      <c r="B11" s="7"/>
      <c r="C11" s="282" t="str">
        <f>'[1]Equipes-Pool'!$B$15</f>
        <v>Senateurs d'ottawa</v>
      </c>
      <c r="D11" s="283"/>
      <c r="E11" s="239">
        <v>3</v>
      </c>
      <c r="F11" s="238">
        <v>3</v>
      </c>
      <c r="G11" s="238">
        <v>8</v>
      </c>
      <c r="H11" s="238">
        <v>8</v>
      </c>
      <c r="I11" s="203">
        <f>F11+(G11-H11)</f>
        <v>3</v>
      </c>
      <c r="J11" s="7"/>
      <c r="K11" s="7"/>
      <c r="L11" s="7"/>
      <c r="M11" s="8"/>
      <c r="N11" s="16" t="s">
        <v>8</v>
      </c>
      <c r="O11" s="17" t="s">
        <v>9</v>
      </c>
      <c r="P11" s="71" t="s">
        <v>10</v>
      </c>
      <c r="Q11" s="18" t="s">
        <v>11</v>
      </c>
      <c r="R11" s="19" t="s">
        <v>68</v>
      </c>
      <c r="U11" s="161"/>
      <c r="W11" s="152" t="s">
        <v>8</v>
      </c>
      <c r="X11" s="296" t="s">
        <v>83</v>
      </c>
      <c r="Y11" s="297"/>
      <c r="Z11" s="296" t="s">
        <v>196</v>
      </c>
      <c r="AA11" s="297"/>
      <c r="AB11" s="158" t="s">
        <v>159</v>
      </c>
    </row>
    <row r="12" spans="2:28" ht="14.25" thickTop="1">
      <c r="B12" s="7"/>
      <c r="C12" s="263" t="str">
        <f>'[1]Equipes-Pool'!$B$22</f>
        <v>Canucks de Vancouver</v>
      </c>
      <c r="D12" s="264"/>
      <c r="E12" s="140">
        <v>12</v>
      </c>
      <c r="F12" s="140">
        <v>16</v>
      </c>
      <c r="G12" s="140">
        <v>43</v>
      </c>
      <c r="H12" s="140">
        <v>41</v>
      </c>
      <c r="I12" s="187">
        <f>F12+(G12-H12)</f>
        <v>18</v>
      </c>
      <c r="J12" s="7"/>
      <c r="K12" s="7"/>
      <c r="L12" s="7"/>
      <c r="M12" s="8"/>
      <c r="N12" s="20" t="s">
        <v>12</v>
      </c>
      <c r="O12" s="21">
        <f>E14</f>
        <v>67</v>
      </c>
      <c r="P12" s="72">
        <f>I14</f>
        <v>75</v>
      </c>
      <c r="Q12" s="23">
        <f aca="true" t="shared" si="0" ref="Q12:Q18">P12/O12</f>
        <v>1.1194029850746268</v>
      </c>
      <c r="R12" s="22">
        <f>'[2]Individuel'!$D$19</f>
        <v>107.5</v>
      </c>
      <c r="U12" s="161"/>
      <c r="W12" s="155"/>
      <c r="X12" s="154" t="s">
        <v>143</v>
      </c>
      <c r="Y12" s="154" t="s">
        <v>157</v>
      </c>
      <c r="Z12" s="154" t="s">
        <v>143</v>
      </c>
      <c r="AA12" s="154" t="s">
        <v>157</v>
      </c>
      <c r="AB12" s="156"/>
    </row>
    <row r="13" spans="2:28" ht="15" customHeight="1" thickBot="1">
      <c r="B13" s="7"/>
      <c r="C13" s="263" t="str">
        <f>'[1]Equipes-Pool'!$B$19</f>
        <v>Sabres de Buffalo</v>
      </c>
      <c r="D13" s="264"/>
      <c r="E13" s="228">
        <v>41</v>
      </c>
      <c r="F13" s="228">
        <v>43</v>
      </c>
      <c r="G13" s="228">
        <v>112</v>
      </c>
      <c r="H13" s="228">
        <v>119</v>
      </c>
      <c r="I13" s="203">
        <f>F13+(G13-H13)</f>
        <v>36</v>
      </c>
      <c r="J13" s="7"/>
      <c r="K13" s="7"/>
      <c r="L13" s="7"/>
      <c r="M13" s="25"/>
      <c r="N13" s="26" t="s">
        <v>14</v>
      </c>
      <c r="O13" s="27">
        <f>E25</f>
        <v>81</v>
      </c>
      <c r="P13" s="73">
        <f>K25</f>
        <v>108</v>
      </c>
      <c r="Q13" s="29">
        <f t="shared" si="0"/>
        <v>1.3333333333333333</v>
      </c>
      <c r="R13" s="28">
        <f>'[2]Individuel'!$I$19</f>
        <v>146.5</v>
      </c>
      <c r="U13" s="161"/>
      <c r="W13" s="153" t="s">
        <v>156</v>
      </c>
      <c r="X13" s="22" t="s">
        <v>95</v>
      </c>
      <c r="Y13" s="22">
        <v>1407</v>
      </c>
      <c r="Z13" s="22"/>
      <c r="AA13" s="22"/>
      <c r="AB13" s="139">
        <f>Y13+AA13</f>
        <v>1407</v>
      </c>
    </row>
    <row r="14" spans="2:28" ht="15" customHeight="1">
      <c r="B14" s="7"/>
      <c r="C14" s="274" t="s">
        <v>7</v>
      </c>
      <c r="D14" s="275"/>
      <c r="E14" s="14">
        <f>SUM(E10:E13)</f>
        <v>67</v>
      </c>
      <c r="F14" s="14">
        <f>SUM(F10:F13)</f>
        <v>75</v>
      </c>
      <c r="G14" s="14">
        <f>SUM(G10:G13)</f>
        <v>197</v>
      </c>
      <c r="H14" s="14">
        <f>SUM(H10:H13)</f>
        <v>197</v>
      </c>
      <c r="I14" s="15">
        <f>F14+(G14-H14)</f>
        <v>75</v>
      </c>
      <c r="J14" s="7"/>
      <c r="K14" s="7"/>
      <c r="L14" s="7"/>
      <c r="M14" s="8"/>
      <c r="N14" s="26" t="s">
        <v>23</v>
      </c>
      <c r="O14" s="27">
        <f>E46</f>
        <v>524</v>
      </c>
      <c r="P14" s="73">
        <f>H46</f>
        <v>382</v>
      </c>
      <c r="Q14" s="29">
        <f t="shared" si="0"/>
        <v>0.7290076335877863</v>
      </c>
      <c r="R14" s="28">
        <f>'[2]Individuel'!$N$19</f>
        <v>391.4</v>
      </c>
      <c r="U14" s="161"/>
      <c r="W14" s="49" t="s">
        <v>105</v>
      </c>
      <c r="X14" s="28" t="s">
        <v>151</v>
      </c>
      <c r="Y14" s="28">
        <v>50</v>
      </c>
      <c r="Z14" s="22"/>
      <c r="AA14" s="22"/>
      <c r="AB14" s="139">
        <f aca="true" t="shared" si="1" ref="AB14:AB28">Y14+AA14</f>
        <v>50</v>
      </c>
    </row>
    <row r="15" spans="2:28" ht="15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  <c r="N15" s="26" t="s">
        <v>24</v>
      </c>
      <c r="O15" s="27">
        <f>E57</f>
        <v>270</v>
      </c>
      <c r="P15" s="73">
        <f>H57</f>
        <v>231</v>
      </c>
      <c r="Q15" s="29">
        <f t="shared" si="0"/>
        <v>0.8555555555555555</v>
      </c>
      <c r="R15" s="28">
        <f>'[2]Individuel'!$D$33</f>
        <v>232.7</v>
      </c>
      <c r="U15" s="161"/>
      <c r="W15" s="49" t="s">
        <v>166</v>
      </c>
      <c r="X15" s="43" t="s">
        <v>150</v>
      </c>
      <c r="Y15" s="43">
        <v>103</v>
      </c>
      <c r="Z15" s="14"/>
      <c r="AA15" s="14"/>
      <c r="AB15" s="139">
        <f t="shared" si="1"/>
        <v>103</v>
      </c>
    </row>
    <row r="16" spans="2:28" ht="15" customHeight="1" thickBot="1">
      <c r="B16" s="254" t="s">
        <v>13</v>
      </c>
      <c r="C16" s="254"/>
      <c r="D16" s="254"/>
      <c r="E16" s="254"/>
      <c r="F16" s="254"/>
      <c r="G16" s="254"/>
      <c r="H16" s="254"/>
      <c r="I16" s="254"/>
      <c r="J16" s="254"/>
      <c r="K16" s="254"/>
      <c r="L16" s="24"/>
      <c r="M16" s="8"/>
      <c r="N16" s="26" t="s">
        <v>25</v>
      </c>
      <c r="O16" s="27">
        <f>E76</f>
        <v>395</v>
      </c>
      <c r="P16" s="73">
        <f>H76</f>
        <v>189</v>
      </c>
      <c r="Q16" s="29">
        <f t="shared" si="0"/>
        <v>0.47848101265822784</v>
      </c>
      <c r="R16" s="28">
        <f>'[2]Individuel'!$I$33</f>
        <v>193.3</v>
      </c>
      <c r="U16" s="161"/>
      <c r="W16" s="49" t="s">
        <v>14</v>
      </c>
      <c r="X16" s="28" t="s">
        <v>152</v>
      </c>
      <c r="Y16" s="28">
        <v>163</v>
      </c>
      <c r="Z16" s="28"/>
      <c r="AA16" s="28"/>
      <c r="AB16" s="139">
        <f t="shared" si="1"/>
        <v>163</v>
      </c>
    </row>
    <row r="17" spans="2:28" ht="15" customHeight="1" thickBot="1">
      <c r="B17" s="30" t="s">
        <v>15</v>
      </c>
      <c r="C17" s="30" t="s">
        <v>16</v>
      </c>
      <c r="D17" s="30" t="s">
        <v>17</v>
      </c>
      <c r="E17" s="31" t="s">
        <v>2</v>
      </c>
      <c r="F17" s="31" t="s">
        <v>18</v>
      </c>
      <c r="G17" s="31" t="s">
        <v>19</v>
      </c>
      <c r="H17" s="31" t="s">
        <v>20</v>
      </c>
      <c r="I17" s="31" t="s">
        <v>21</v>
      </c>
      <c r="J17" s="31" t="s">
        <v>22</v>
      </c>
      <c r="K17" s="32" t="s">
        <v>6</v>
      </c>
      <c r="L17" s="7"/>
      <c r="M17" s="8"/>
      <c r="N17" s="38" t="s">
        <v>27</v>
      </c>
      <c r="O17" s="39">
        <f>E83</f>
        <v>127</v>
      </c>
      <c r="P17" s="74">
        <f>H83</f>
        <v>57</v>
      </c>
      <c r="Q17" s="41">
        <f t="shared" si="0"/>
        <v>0.44881889763779526</v>
      </c>
      <c r="R17" s="40">
        <f>'[2]Individuel'!$N$33</f>
        <v>63.8</v>
      </c>
      <c r="U17" s="161"/>
      <c r="W17" s="49" t="s">
        <v>84</v>
      </c>
      <c r="X17" s="73" t="s">
        <v>95</v>
      </c>
      <c r="Y17" s="28">
        <v>546</v>
      </c>
      <c r="Z17" s="28"/>
      <c r="AA17" s="28"/>
      <c r="AB17" s="139">
        <f t="shared" si="1"/>
        <v>546</v>
      </c>
    </row>
    <row r="18" spans="2:28" ht="15" customHeight="1" thickTop="1">
      <c r="B18" s="180">
        <f>'[1]Pool-gardien'!$B$38</f>
        <v>26.994520547945207</v>
      </c>
      <c r="C18" s="180" t="str">
        <f>'[1]Pool-gardien'!$C$38</f>
        <v>T.B.</v>
      </c>
      <c r="D18" s="181" t="str">
        <f>'[1]Pool-gardien'!$D$38</f>
        <v>Mike Smith</v>
      </c>
      <c r="E18" s="180">
        <v>31</v>
      </c>
      <c r="F18" s="180">
        <v>14</v>
      </c>
      <c r="G18" s="180">
        <v>9</v>
      </c>
      <c r="H18" s="180">
        <v>2</v>
      </c>
      <c r="I18" s="180">
        <v>0</v>
      </c>
      <c r="J18" s="180">
        <v>1</v>
      </c>
      <c r="K18" s="203">
        <f aca="true" t="shared" si="2" ref="K18:K25">(F18*2)+G18+(H18*4)+(I18*10)+J18</f>
        <v>46</v>
      </c>
      <c r="L18" s="145"/>
      <c r="M18" s="226"/>
      <c r="N18" s="42" t="s">
        <v>28</v>
      </c>
      <c r="O18" s="22">
        <f>SUM(O12:O17)</f>
        <v>1464</v>
      </c>
      <c r="P18" s="75">
        <f>SUM(P12:P17)</f>
        <v>1042</v>
      </c>
      <c r="Q18" s="23">
        <f t="shared" si="0"/>
        <v>0.7117486338797814</v>
      </c>
      <c r="R18" s="22">
        <f>'[2]Classement'!$C$20</f>
        <v>1135.2</v>
      </c>
      <c r="U18" s="161"/>
      <c r="W18" s="49" t="s">
        <v>24</v>
      </c>
      <c r="X18" s="73" t="s">
        <v>95</v>
      </c>
      <c r="Y18" s="28">
        <v>299</v>
      </c>
      <c r="Z18" s="28"/>
      <c r="AA18" s="28"/>
      <c r="AB18" s="139">
        <f t="shared" si="1"/>
        <v>299</v>
      </c>
    </row>
    <row r="19" spans="2:28" ht="15" customHeight="1" thickBot="1">
      <c r="B19" s="106">
        <f>'[1]Pool-gardien'!$B$15</f>
        <v>31.5972602739726</v>
      </c>
      <c r="C19" s="106" t="str">
        <f>'[1]Pool-gardien'!$C$15</f>
        <v>Phi</v>
      </c>
      <c r="D19" s="126" t="str">
        <f>'[1]Pool-gardien'!$D$15</f>
        <v>Martin Biron</v>
      </c>
      <c r="E19" s="106">
        <f>(('[1]Pool-gardien'!$E$15)-9)</f>
        <v>33</v>
      </c>
      <c r="F19" s="106">
        <f>(('[1]Pool-gardien'!$F$15)-3)</f>
        <v>18</v>
      </c>
      <c r="G19" s="106">
        <f>(('[1]Pool-gardien'!$G$15)-1)</f>
        <v>4</v>
      </c>
      <c r="H19" s="106">
        <f>(('[1]Pool-gardien'!$H$15)-0)</f>
        <v>2</v>
      </c>
      <c r="I19" s="106">
        <f>(('[1]Pool-gardien'!$I$15)-0)</f>
        <v>0</v>
      </c>
      <c r="J19" s="106">
        <f>(('[1]Pool-gardien'!$J$15)-2)</f>
        <v>1</v>
      </c>
      <c r="K19" s="33">
        <f t="shared" si="2"/>
        <v>49</v>
      </c>
      <c r="L19" s="145"/>
      <c r="M19" s="8"/>
      <c r="U19" s="161"/>
      <c r="W19" s="49" t="s">
        <v>25</v>
      </c>
      <c r="X19" s="28" t="s">
        <v>147</v>
      </c>
      <c r="Y19" s="28">
        <v>234</v>
      </c>
      <c r="Z19" s="28"/>
      <c r="AA19" s="28"/>
      <c r="AB19" s="139">
        <f t="shared" si="1"/>
        <v>234</v>
      </c>
    </row>
    <row r="20" spans="2:28" ht="15" customHeight="1">
      <c r="B20" s="185">
        <f>'[1]Pool-gardien'!$B$12</f>
        <v>26.364383561643837</v>
      </c>
      <c r="C20" s="185" t="str">
        <f>'[1]Pool-gardien'!$C$12</f>
        <v>Ott</v>
      </c>
      <c r="D20" s="186" t="str">
        <f>'[1]Pool-gardien'!$D$12</f>
        <v>Pascal Leclaire</v>
      </c>
      <c r="E20" s="185">
        <v>6</v>
      </c>
      <c r="F20" s="185">
        <v>2</v>
      </c>
      <c r="G20" s="185">
        <v>0</v>
      </c>
      <c r="H20" s="185">
        <v>0</v>
      </c>
      <c r="I20" s="185">
        <v>0</v>
      </c>
      <c r="J20" s="185">
        <v>0</v>
      </c>
      <c r="K20" s="203">
        <f t="shared" si="2"/>
        <v>4</v>
      </c>
      <c r="L20" s="145"/>
      <c r="M20" s="8"/>
      <c r="N20" s="265" t="s">
        <v>64</v>
      </c>
      <c r="O20" s="266"/>
      <c r="P20" s="266"/>
      <c r="Q20" s="266"/>
      <c r="R20" s="267"/>
      <c r="U20" s="161"/>
      <c r="W20" s="49" t="s">
        <v>85</v>
      </c>
      <c r="X20" s="28" t="s">
        <v>151</v>
      </c>
      <c r="Y20" s="28">
        <v>62</v>
      </c>
      <c r="Z20" s="28"/>
      <c r="AA20" s="28"/>
      <c r="AB20" s="139">
        <f t="shared" si="1"/>
        <v>62</v>
      </c>
    </row>
    <row r="21" spans="2:28" ht="15" customHeight="1" thickBot="1">
      <c r="B21" s="185">
        <f>'[1]Pool-gardien'!$B$69</f>
        <v>35.30958904109589</v>
      </c>
      <c r="C21" s="185" t="str">
        <f>'[1]Pool-gardien'!$C$69</f>
        <v>Cbj</v>
      </c>
      <c r="D21" s="186" t="str">
        <f>'[1]Pool-gardien'!$D$69</f>
        <v>Frederik Norrena</v>
      </c>
      <c r="E21" s="185">
        <v>3</v>
      </c>
      <c r="F21" s="185">
        <v>1</v>
      </c>
      <c r="G21" s="185">
        <v>2</v>
      </c>
      <c r="H21" s="185">
        <v>0</v>
      </c>
      <c r="I21" s="185">
        <v>0</v>
      </c>
      <c r="J21" s="185">
        <v>0</v>
      </c>
      <c r="K21" s="203">
        <f t="shared" si="2"/>
        <v>4</v>
      </c>
      <c r="L21" s="145"/>
      <c r="M21" s="8"/>
      <c r="N21" s="16" t="s">
        <v>8</v>
      </c>
      <c r="O21" s="17" t="s">
        <v>9</v>
      </c>
      <c r="P21" s="71" t="s">
        <v>10</v>
      </c>
      <c r="Q21" s="18" t="s">
        <v>11</v>
      </c>
      <c r="R21" s="19" t="s">
        <v>68</v>
      </c>
      <c r="U21" s="161"/>
      <c r="W21" s="49" t="s">
        <v>21</v>
      </c>
      <c r="X21" s="28" t="s">
        <v>146</v>
      </c>
      <c r="Y21" s="28">
        <v>426</v>
      </c>
      <c r="Z21" s="28"/>
      <c r="AA21" s="28"/>
      <c r="AB21" s="139">
        <f t="shared" si="1"/>
        <v>426</v>
      </c>
    </row>
    <row r="22" spans="2:28" ht="15" customHeight="1" thickTop="1">
      <c r="B22" s="180">
        <f>'[1]Pool-gardien'!$B$129</f>
        <v>20.89041095890411</v>
      </c>
      <c r="C22" s="180" t="str">
        <f>'[1]Pool-gardien'!$C$129</f>
        <v>Wsh</v>
      </c>
      <c r="D22" s="181" t="str">
        <f>'[1]Pool-gardien'!$D$129</f>
        <v>Simeon Varlamov</v>
      </c>
      <c r="E22" s="180">
        <v>1</v>
      </c>
      <c r="F22" s="180">
        <v>1</v>
      </c>
      <c r="G22" s="180">
        <v>0</v>
      </c>
      <c r="H22" s="180">
        <v>0</v>
      </c>
      <c r="I22" s="180">
        <v>0</v>
      </c>
      <c r="J22" s="180">
        <v>0</v>
      </c>
      <c r="K22" s="203">
        <f t="shared" si="2"/>
        <v>2</v>
      </c>
      <c r="L22" s="145"/>
      <c r="M22" s="8"/>
      <c r="N22" s="20" t="s">
        <v>31</v>
      </c>
      <c r="O22" s="27">
        <f>E91</f>
        <v>67</v>
      </c>
      <c r="P22" s="73">
        <f>I91</f>
        <v>72</v>
      </c>
      <c r="Q22" s="29">
        <f>P22/O22</f>
        <v>1.0746268656716418</v>
      </c>
      <c r="R22" s="63"/>
      <c r="U22" s="161"/>
      <c r="W22" s="49" t="s">
        <v>30</v>
      </c>
      <c r="X22" s="43" t="s">
        <v>146</v>
      </c>
      <c r="Y22" s="43">
        <v>715</v>
      </c>
      <c r="Z22" s="43"/>
      <c r="AA22" s="43"/>
      <c r="AB22" s="139">
        <f t="shared" si="1"/>
        <v>715</v>
      </c>
    </row>
    <row r="23" spans="2:28" ht="15" customHeight="1">
      <c r="B23" s="189">
        <f>'[1]Pool-gardien'!$B$20</f>
        <v>36.12602739726027</v>
      </c>
      <c r="C23" s="189" t="str">
        <f>'[1]Pool-gardien'!$C$20</f>
        <v>Stl</v>
      </c>
      <c r="D23" s="190" t="str">
        <f>'[1]Pool-gardien'!$D$20</f>
        <v>Manny Legace</v>
      </c>
      <c r="E23" s="189">
        <v>3</v>
      </c>
      <c r="F23" s="189">
        <v>1</v>
      </c>
      <c r="G23" s="189">
        <v>0</v>
      </c>
      <c r="H23" s="189">
        <v>0</v>
      </c>
      <c r="I23" s="189">
        <v>0</v>
      </c>
      <c r="J23" s="189">
        <v>0</v>
      </c>
      <c r="K23" s="203">
        <f t="shared" si="2"/>
        <v>2</v>
      </c>
      <c r="L23" s="7"/>
      <c r="M23" s="8"/>
      <c r="N23" s="26" t="s">
        <v>32</v>
      </c>
      <c r="O23" s="27">
        <f>E102</f>
        <v>36</v>
      </c>
      <c r="P23" s="73">
        <f>K102</f>
        <v>32</v>
      </c>
      <c r="Q23" s="29">
        <f aca="true" t="shared" si="3" ref="Q23:Q28">P23/O23</f>
        <v>0.8888888888888888</v>
      </c>
      <c r="R23" s="63"/>
      <c r="U23" s="161"/>
      <c r="W23" s="49" t="s">
        <v>86</v>
      </c>
      <c r="X23" s="73" t="s">
        <v>95</v>
      </c>
      <c r="Y23" s="28">
        <v>1141</v>
      </c>
      <c r="Z23" s="28"/>
      <c r="AA23" s="28"/>
      <c r="AB23" s="139">
        <f t="shared" si="1"/>
        <v>1141</v>
      </c>
    </row>
    <row r="24" spans="2:28" ht="15" customHeight="1" thickBot="1">
      <c r="B24" s="106">
        <f>'[1]Pool-gardien'!$B$76</f>
        <v>26.627397260273973</v>
      </c>
      <c r="C24" s="106" t="str">
        <f>'[1]Pool-gardien'!$C$76</f>
        <v>L.A.</v>
      </c>
      <c r="D24" s="126" t="str">
        <f>'[1]Pool-gardien'!$D$76</f>
        <v>Erik Ersberg</v>
      </c>
      <c r="E24" s="123">
        <f>((('[1]Pool-gardien'!$E$76)-12))-9</f>
        <v>4</v>
      </c>
      <c r="F24" s="123">
        <f>((('[1]Pool-gardien'!$F$76)-5))-3</f>
        <v>0</v>
      </c>
      <c r="G24" s="123">
        <f>((('[1]Pool-gardien'!$G$76)-2))-1</f>
        <v>1</v>
      </c>
      <c r="H24" s="123">
        <f>((('[1]Pool-gardien'!$H$76)-0))-0</f>
        <v>0</v>
      </c>
      <c r="I24" s="123">
        <f>((('[1]Pool-gardien'!$I$76)-0))-0</f>
        <v>0</v>
      </c>
      <c r="J24" s="123">
        <f>((('[1]Pool-gardien'!$J$76)-0))-0</f>
        <v>0</v>
      </c>
      <c r="K24" s="37">
        <f t="shared" si="2"/>
        <v>1</v>
      </c>
      <c r="L24" s="145"/>
      <c r="M24" s="8"/>
      <c r="N24" s="26" t="s">
        <v>33</v>
      </c>
      <c r="O24" s="27">
        <f>E120</f>
        <v>238</v>
      </c>
      <c r="P24" s="73">
        <f>H120</f>
        <v>96</v>
      </c>
      <c r="Q24" s="29">
        <f t="shared" si="3"/>
        <v>0.40336134453781514</v>
      </c>
      <c r="R24" s="63"/>
      <c r="U24" s="161"/>
      <c r="W24" s="49" t="s">
        <v>87</v>
      </c>
      <c r="X24" s="43" t="s">
        <v>146</v>
      </c>
      <c r="Y24" s="28">
        <v>642</v>
      </c>
      <c r="Z24" s="28"/>
      <c r="AA24" s="28"/>
      <c r="AB24" s="139">
        <f t="shared" si="1"/>
        <v>642</v>
      </c>
    </row>
    <row r="25" spans="2:28" ht="15" customHeight="1">
      <c r="B25" s="329" t="s">
        <v>26</v>
      </c>
      <c r="C25" s="330"/>
      <c r="D25" s="336"/>
      <c r="E25" s="14">
        <f aca="true" t="shared" si="4" ref="E25:J25">SUM(E18:E24)</f>
        <v>81</v>
      </c>
      <c r="F25" s="14">
        <f t="shared" si="4"/>
        <v>37</v>
      </c>
      <c r="G25" s="14">
        <f t="shared" si="4"/>
        <v>16</v>
      </c>
      <c r="H25" s="14">
        <f t="shared" si="4"/>
        <v>4</v>
      </c>
      <c r="I25" s="14">
        <f t="shared" si="4"/>
        <v>0</v>
      </c>
      <c r="J25" s="14">
        <f t="shared" si="4"/>
        <v>2</v>
      </c>
      <c r="K25" s="33">
        <f t="shared" si="2"/>
        <v>108</v>
      </c>
      <c r="L25" s="7"/>
      <c r="M25" s="8"/>
      <c r="N25" s="26" t="s">
        <v>34</v>
      </c>
      <c r="O25" s="27">
        <f>E131</f>
        <v>175</v>
      </c>
      <c r="P25" s="73">
        <f>H131</f>
        <v>92</v>
      </c>
      <c r="Q25" s="29">
        <f t="shared" si="3"/>
        <v>0.5257142857142857</v>
      </c>
      <c r="R25" s="63"/>
      <c r="U25" s="161"/>
      <c r="W25" s="49" t="s">
        <v>112</v>
      </c>
      <c r="X25" s="43" t="s">
        <v>154</v>
      </c>
      <c r="Y25" s="28">
        <v>50</v>
      </c>
      <c r="Z25" s="28"/>
      <c r="AA25" s="28"/>
      <c r="AB25" s="139">
        <f t="shared" si="1"/>
        <v>50</v>
      </c>
    </row>
    <row r="26" spans="2:28" ht="15" customHeight="1">
      <c r="B26" s="5"/>
      <c r="C26" s="5"/>
      <c r="D26" s="5"/>
      <c r="E26" s="7"/>
      <c r="F26" s="7"/>
      <c r="G26" s="7"/>
      <c r="H26" s="7"/>
      <c r="I26" s="7"/>
      <c r="J26" s="7"/>
      <c r="K26" s="7"/>
      <c r="L26" s="7"/>
      <c r="M26" s="8"/>
      <c r="N26" s="26" t="s">
        <v>35</v>
      </c>
      <c r="O26" s="27">
        <f>E145</f>
        <v>187</v>
      </c>
      <c r="P26" s="73">
        <f>H145</f>
        <v>76</v>
      </c>
      <c r="Q26" s="29">
        <f t="shared" si="3"/>
        <v>0.40641711229946526</v>
      </c>
      <c r="R26" s="63"/>
      <c r="U26" s="161"/>
      <c r="W26" s="49" t="s">
        <v>88</v>
      </c>
      <c r="X26" s="28" t="s">
        <v>146</v>
      </c>
      <c r="Y26" s="28">
        <v>11</v>
      </c>
      <c r="Z26" s="28"/>
      <c r="AA26" s="28"/>
      <c r="AB26" s="139">
        <f t="shared" si="1"/>
        <v>11</v>
      </c>
    </row>
    <row r="27" spans="2:28" ht="15" customHeight="1" thickBot="1">
      <c r="B27" s="256" t="s">
        <v>23</v>
      </c>
      <c r="C27" s="257"/>
      <c r="D27" s="257"/>
      <c r="E27" s="257"/>
      <c r="F27" s="257"/>
      <c r="G27" s="257"/>
      <c r="H27" s="257"/>
      <c r="I27" s="258"/>
      <c r="J27" s="7"/>
      <c r="K27" s="7"/>
      <c r="L27" s="7"/>
      <c r="M27" s="8"/>
      <c r="N27" s="38" t="s">
        <v>36</v>
      </c>
      <c r="O27" s="117">
        <f>E166</f>
        <v>132</v>
      </c>
      <c r="P27" s="74">
        <f>H166</f>
        <v>35</v>
      </c>
      <c r="Q27" s="41">
        <f t="shared" si="3"/>
        <v>0.26515151515151514</v>
      </c>
      <c r="R27" s="64"/>
      <c r="U27" s="161"/>
      <c r="W27" s="49" t="s">
        <v>160</v>
      </c>
      <c r="X27" s="28" t="s">
        <v>150</v>
      </c>
      <c r="Y27" s="28">
        <v>14</v>
      </c>
      <c r="Z27" s="28"/>
      <c r="AA27" s="28"/>
      <c r="AB27" s="139">
        <f t="shared" si="1"/>
        <v>14</v>
      </c>
    </row>
    <row r="28" spans="2:28" ht="15" customHeight="1" thickBot="1">
      <c r="B28" s="30" t="s">
        <v>15</v>
      </c>
      <c r="C28" s="30" t="s">
        <v>29</v>
      </c>
      <c r="D28" s="30" t="s">
        <v>17</v>
      </c>
      <c r="E28" s="31" t="s">
        <v>2</v>
      </c>
      <c r="F28" s="31" t="s">
        <v>21</v>
      </c>
      <c r="G28" s="31" t="s">
        <v>30</v>
      </c>
      <c r="H28" s="32" t="s">
        <v>6</v>
      </c>
      <c r="I28" s="31" t="s">
        <v>11</v>
      </c>
      <c r="J28" s="7"/>
      <c r="K28" s="7"/>
      <c r="L28" s="7"/>
      <c r="M28" s="8"/>
      <c r="N28" s="42" t="s">
        <v>37</v>
      </c>
      <c r="O28" s="22">
        <f>SUM(O22:O27)</f>
        <v>835</v>
      </c>
      <c r="P28" s="72">
        <f>SUM(P22:P27)</f>
        <v>403</v>
      </c>
      <c r="Q28" s="23">
        <f t="shared" si="3"/>
        <v>0.48263473053892214</v>
      </c>
      <c r="R28" s="22">
        <f>'[2]Individuel'!$I$61</f>
        <v>420.7</v>
      </c>
      <c r="U28" s="161"/>
      <c r="W28" s="49" t="s">
        <v>161</v>
      </c>
      <c r="X28" s="73" t="s">
        <v>95</v>
      </c>
      <c r="Y28" s="28">
        <v>91</v>
      </c>
      <c r="Z28" s="28"/>
      <c r="AA28" s="28"/>
      <c r="AB28" s="139">
        <f t="shared" si="1"/>
        <v>91</v>
      </c>
    </row>
    <row r="29" spans="2:28" ht="15" customHeight="1" thickBot="1" thickTop="1">
      <c r="B29" s="107">
        <f>'[1]POOL-joueus'!$B$19</f>
        <v>28.15890410958904</v>
      </c>
      <c r="C29" s="107" t="str">
        <f>'[1]POOL-joueus'!$C$19</f>
        <v>Ott</v>
      </c>
      <c r="D29" s="124" t="str">
        <f>'[1]POOL-joueus'!$D$19</f>
        <v>Dany Heatley</v>
      </c>
      <c r="E29" s="138">
        <f>'[1]POOL-joueus'!$E$19</f>
        <v>67</v>
      </c>
      <c r="F29" s="138">
        <f>'[1]POOL-joueus'!$F$19</f>
        <v>32</v>
      </c>
      <c r="G29" s="138">
        <f>'[1]POOL-joueus'!$G$19</f>
        <v>31</v>
      </c>
      <c r="H29" s="44">
        <f aca="true" t="shared" si="5" ref="H29:H46">SUM(F29:G29)</f>
        <v>63</v>
      </c>
      <c r="I29" s="45">
        <f aca="true" t="shared" si="6" ref="I29:I46">H29/E29</f>
        <v>0.9402985074626866</v>
      </c>
      <c r="J29" s="145"/>
      <c r="K29" s="7"/>
      <c r="L29" s="7"/>
      <c r="M29" s="8"/>
      <c r="U29" s="161"/>
      <c r="W29" s="49" t="s">
        <v>165</v>
      </c>
      <c r="X29" s="43" t="s">
        <v>151</v>
      </c>
      <c r="Y29" s="28">
        <v>28.5</v>
      </c>
      <c r="Z29" s="28"/>
      <c r="AA29" s="28"/>
      <c r="AB29" s="160"/>
    </row>
    <row r="30" spans="2:28" ht="15" customHeight="1">
      <c r="B30" s="107">
        <f>'[1]POOL-joueus'!$B$13</f>
        <v>36.276712328767125</v>
      </c>
      <c r="C30" s="107" t="str">
        <f>'[1]POOL-joueus'!$C$13</f>
        <v>Ott</v>
      </c>
      <c r="D30" s="124" t="str">
        <f>'[1]POOL-joueus'!$D$13</f>
        <v>Daniel Alfredsson</v>
      </c>
      <c r="E30" s="106">
        <f>('[1]POOL-joueus'!$E$13)</f>
        <v>65</v>
      </c>
      <c r="F30" s="106">
        <f>('[1]POOL-joueus'!$F$13)</f>
        <v>21</v>
      </c>
      <c r="G30" s="106">
        <f>('[1]POOL-joueus'!$G$13)</f>
        <v>43</v>
      </c>
      <c r="H30" s="44">
        <f t="shared" si="5"/>
        <v>64</v>
      </c>
      <c r="I30" s="45">
        <f t="shared" si="6"/>
        <v>0.9846153846153847</v>
      </c>
      <c r="J30" s="7"/>
      <c r="K30" s="7"/>
      <c r="L30" s="7"/>
      <c r="M30" s="8"/>
      <c r="N30" s="265" t="s">
        <v>60</v>
      </c>
      <c r="O30" s="266"/>
      <c r="P30" s="266"/>
      <c r="Q30" s="266"/>
      <c r="R30" s="267"/>
      <c r="U30" s="161"/>
      <c r="W30" s="159"/>
      <c r="X30" s="298" t="s">
        <v>158</v>
      </c>
      <c r="Y30" s="299"/>
      <c r="Z30" s="298" t="s">
        <v>158</v>
      </c>
      <c r="AA30" s="299"/>
      <c r="AB30" s="160"/>
    </row>
    <row r="31" spans="2:28" ht="15" customHeight="1" thickBot="1">
      <c r="B31" s="107">
        <f>'[1]POOL-joueus'!$B$47</f>
        <v>26.75068493150685</v>
      </c>
      <c r="C31" s="107" t="str">
        <f>'[1]POOL-joueus'!$C$47</f>
        <v>L.A.</v>
      </c>
      <c r="D31" s="124" t="str">
        <f>'[1]POOL-joueus'!$D$47</f>
        <v>Alex Frolov</v>
      </c>
      <c r="E31" s="107">
        <f>'[1]POOL-joueus'!$E$47</f>
        <v>66</v>
      </c>
      <c r="F31" s="107">
        <f>'[1]POOL-joueus'!$F$47</f>
        <v>27</v>
      </c>
      <c r="G31" s="107">
        <f>'[1]POOL-joueus'!$G$47</f>
        <v>25</v>
      </c>
      <c r="H31" s="44">
        <f t="shared" si="5"/>
        <v>52</v>
      </c>
      <c r="I31" s="45">
        <f t="shared" si="6"/>
        <v>0.7878787878787878</v>
      </c>
      <c r="J31" s="7"/>
      <c r="K31" s="7"/>
      <c r="L31" s="7"/>
      <c r="M31" s="8"/>
      <c r="N31" s="16" t="s">
        <v>8</v>
      </c>
      <c r="O31" s="17" t="s">
        <v>9</v>
      </c>
      <c r="P31" s="17" t="s">
        <v>62</v>
      </c>
      <c r="Q31" s="18" t="s">
        <v>11</v>
      </c>
      <c r="R31" s="19" t="s">
        <v>68</v>
      </c>
      <c r="U31" s="161"/>
      <c r="W31" s="49" t="s">
        <v>167</v>
      </c>
      <c r="X31" s="259">
        <v>2</v>
      </c>
      <c r="Y31" s="260"/>
      <c r="Z31" s="259"/>
      <c r="AA31" s="260"/>
      <c r="AB31" s="140">
        <f>X31+AA31</f>
        <v>2</v>
      </c>
    </row>
    <row r="32" spans="2:28" ht="15" customHeight="1" thickTop="1">
      <c r="B32" s="107">
        <f>'[1]POOL-joueus'!$B$257</f>
        <v>20.805479452054794</v>
      </c>
      <c r="C32" s="107" t="str">
        <f>'[1]POOL-joueus'!$C$257</f>
        <v>Stl</v>
      </c>
      <c r="D32" s="124" t="str">
        <f>'[1]POOL-joueus'!$D$257</f>
        <v>David Perron</v>
      </c>
      <c r="E32" s="107">
        <f>('[1]POOL-joueus'!$E$257)-2</f>
        <v>64</v>
      </c>
      <c r="F32" s="107">
        <f>('[1]POOL-joueus'!$F$257)-2</f>
        <v>9</v>
      </c>
      <c r="G32" s="107">
        <f>('[1]POOL-joueus'!$G$257)-1</f>
        <v>29</v>
      </c>
      <c r="H32" s="44">
        <f t="shared" si="5"/>
        <v>38</v>
      </c>
      <c r="I32" s="45">
        <f t="shared" si="6"/>
        <v>0.59375</v>
      </c>
      <c r="J32" s="7"/>
      <c r="K32" s="7"/>
      <c r="L32" s="7"/>
      <c r="M32" s="8"/>
      <c r="N32" s="20" t="s">
        <v>21</v>
      </c>
      <c r="O32" s="69"/>
      <c r="P32" s="22">
        <f>F46+F57+F76+F83</f>
        <v>340</v>
      </c>
      <c r="Q32" s="23">
        <f>P32/O34</f>
        <v>0.25835866261398177</v>
      </c>
      <c r="R32" s="22">
        <f>'[2]Individuel'!$D$47</f>
        <v>320.7</v>
      </c>
      <c r="U32" s="161"/>
      <c r="W32" s="49" t="s">
        <v>168</v>
      </c>
      <c r="X32" s="259">
        <v>6</v>
      </c>
      <c r="Y32" s="260"/>
      <c r="Z32" s="259"/>
      <c r="AA32" s="260"/>
      <c r="AB32" s="140">
        <f>X32+AA32</f>
        <v>6</v>
      </c>
    </row>
    <row r="33" spans="2:28" ht="15" customHeight="1">
      <c r="B33" s="180">
        <f>'[1]POOL-joueus'!$B$69</f>
        <v>35.57534246575342</v>
      </c>
      <c r="C33" s="180" t="str">
        <f>'[1]POOL-joueus'!$C$69</f>
        <v>Min</v>
      </c>
      <c r="D33" s="181" t="str">
        <f>'[1]POOL-joueus'!$D$69</f>
        <v>Andrew Brunette</v>
      </c>
      <c r="E33" s="183">
        <v>55</v>
      </c>
      <c r="F33" s="183">
        <v>13</v>
      </c>
      <c r="G33" s="183">
        <v>19</v>
      </c>
      <c r="H33" s="187">
        <f t="shared" si="5"/>
        <v>32</v>
      </c>
      <c r="I33" s="188">
        <f t="shared" si="6"/>
        <v>0.5818181818181818</v>
      </c>
      <c r="J33" s="7"/>
      <c r="K33" s="7"/>
      <c r="L33" s="7"/>
      <c r="M33" s="8"/>
      <c r="N33" s="26" t="s">
        <v>30</v>
      </c>
      <c r="O33" s="69"/>
      <c r="P33" s="28">
        <f>G46+G57+G76+G83</f>
        <v>519</v>
      </c>
      <c r="Q33" s="29">
        <f>P33/O34</f>
        <v>0.3943768996960486</v>
      </c>
      <c r="R33" s="28">
        <f>'[2]Individuel'!$I$47</f>
        <v>539.3</v>
      </c>
      <c r="U33" s="161"/>
      <c r="W33" s="49" t="s">
        <v>89</v>
      </c>
      <c r="X33" s="259">
        <v>1</v>
      </c>
      <c r="Y33" s="260"/>
      <c r="Z33" s="259"/>
      <c r="AA33" s="260"/>
      <c r="AB33" s="140">
        <f>X33+AA33</f>
        <v>1</v>
      </c>
    </row>
    <row r="34" spans="2:28" ht="15" customHeight="1">
      <c r="B34" s="107">
        <f>'[1]POOL-joueus'!$B$95</f>
        <v>26.665753424657535</v>
      </c>
      <c r="C34" s="107" t="str">
        <f>'[1]POOL-joueus'!$C$95</f>
        <v>Cbj</v>
      </c>
      <c r="D34" s="124" t="str">
        <f>'[1]POOL-joueus'!$D$95</f>
        <v>Antoine Vermette</v>
      </c>
      <c r="E34" s="107">
        <f>(('[1]POOL-joueus'!$E$95)-52)-4</f>
        <v>9</v>
      </c>
      <c r="F34" s="107">
        <f>(('[1]POOL-joueus'!$F$95)-8)-1</f>
        <v>1</v>
      </c>
      <c r="G34" s="107">
        <f>(('[1]POOL-joueus'!$G$95)-13)-2</f>
        <v>7</v>
      </c>
      <c r="H34" s="44">
        <f>SUM(F34:G34)</f>
        <v>8</v>
      </c>
      <c r="I34" s="45">
        <f>H34/E34</f>
        <v>0.8888888888888888</v>
      </c>
      <c r="J34" s="7"/>
      <c r="K34" s="7"/>
      <c r="L34" s="7"/>
      <c r="M34" s="8"/>
      <c r="N34" s="26" t="s">
        <v>55</v>
      </c>
      <c r="O34" s="27">
        <f>E46+E57+E76+E83</f>
        <v>1316</v>
      </c>
      <c r="P34" s="28">
        <f>SUM(P32:P33)</f>
        <v>859</v>
      </c>
      <c r="Q34" s="29">
        <f>P34/O34</f>
        <v>0.6527355623100304</v>
      </c>
      <c r="R34" s="28">
        <f>'[2]Individuel'!$N$47</f>
        <v>860</v>
      </c>
      <c r="U34" s="161"/>
      <c r="W34" s="49" t="s">
        <v>194</v>
      </c>
      <c r="X34" s="259">
        <v>0</v>
      </c>
      <c r="Y34" s="260"/>
      <c r="Z34" s="259"/>
      <c r="AA34" s="260"/>
      <c r="AB34" s="140">
        <f>X34+AA34</f>
        <v>0</v>
      </c>
    </row>
    <row r="35" spans="2:28" ht="15" customHeight="1">
      <c r="B35" s="109">
        <f>'[1]POOL-joueus'!$B$106</f>
        <v>29.301369863013697</v>
      </c>
      <c r="C35" s="109" t="str">
        <f>'[1]POOL-joueus'!$C$106</f>
        <v>T.B.</v>
      </c>
      <c r="D35" s="111" t="str">
        <f>'[1]POOL-joueus'!$D$106</f>
        <v>Ryan Malone</v>
      </c>
      <c r="E35" s="108">
        <f>('[1]POOL-joueus'!$E$106)-5</f>
        <v>53</v>
      </c>
      <c r="F35" s="108">
        <f>('[1]POOL-joueus'!$F$106)</f>
        <v>24</v>
      </c>
      <c r="G35" s="108">
        <f>('[1]POOL-joueus'!$G$106)-5</f>
        <v>11</v>
      </c>
      <c r="H35" s="44">
        <f t="shared" si="5"/>
        <v>35</v>
      </c>
      <c r="I35" s="45">
        <f t="shared" si="6"/>
        <v>0.660377358490566</v>
      </c>
      <c r="J35" s="7"/>
      <c r="K35" s="7"/>
      <c r="L35" s="7"/>
      <c r="M35" s="8"/>
      <c r="N35" s="26" t="s">
        <v>56</v>
      </c>
      <c r="O35" s="67"/>
      <c r="P35" s="63"/>
      <c r="Q35" s="68"/>
      <c r="R35" s="29">
        <f>'[2]Individuel'!$D$61</f>
        <v>0.6703402518874818</v>
      </c>
      <c r="U35" s="161"/>
      <c r="W35" s="49" t="s">
        <v>132</v>
      </c>
      <c r="X35" s="268">
        <v>60</v>
      </c>
      <c r="Y35" s="269"/>
      <c r="Z35" s="268"/>
      <c r="AA35" s="269"/>
      <c r="AB35" s="157">
        <f>X35+Z35</f>
        <v>60</v>
      </c>
    </row>
    <row r="36" spans="2:21" ht="15" customHeight="1">
      <c r="B36" s="183">
        <f>'[1]POOL-joueus'!$B$92</f>
        <v>20.926027397260274</v>
      </c>
      <c r="C36" s="183" t="str">
        <f>'[1]POOL-joueus'!$C$92</f>
        <v>Phx</v>
      </c>
      <c r="D36" s="184" t="str">
        <f>'[1]POOL-joueus'!$D$92</f>
        <v>Peter Mueller</v>
      </c>
      <c r="E36" s="183">
        <v>35</v>
      </c>
      <c r="F36" s="183">
        <v>7</v>
      </c>
      <c r="G36" s="183">
        <v>13</v>
      </c>
      <c r="H36" s="187">
        <f t="shared" si="5"/>
        <v>20</v>
      </c>
      <c r="I36" s="188">
        <f t="shared" si="6"/>
        <v>0.5714285714285714</v>
      </c>
      <c r="J36" s="7"/>
      <c r="K36" s="7"/>
      <c r="L36" s="7"/>
      <c r="M36" s="8"/>
      <c r="N36" s="26" t="s">
        <v>57</v>
      </c>
      <c r="O36" s="27">
        <f>E25</f>
        <v>81</v>
      </c>
      <c r="P36" s="28">
        <f>F25</f>
        <v>37</v>
      </c>
      <c r="Q36" s="29">
        <f>P36/O36</f>
        <v>0.4567901234567901</v>
      </c>
      <c r="R36" s="28">
        <f>'[2]Individuel'!$D$75</f>
        <v>59.9</v>
      </c>
      <c r="U36" s="161"/>
    </row>
    <row r="37" spans="2:31" ht="15" customHeight="1">
      <c r="B37" s="107">
        <f>'[1]POOL-joueus'!$B$132</f>
        <v>26.92054794520548</v>
      </c>
      <c r="C37" s="107" t="str">
        <f>'[1]POOL-joueus'!$C$132</f>
        <v>Phi</v>
      </c>
      <c r="D37" s="124" t="str">
        <f>'[1]POOL-joueus'!$D$132</f>
        <v>Scott Hartnell</v>
      </c>
      <c r="E37" s="107">
        <f>('[1]POOL-joueus'!$E$132)-35</f>
        <v>30</v>
      </c>
      <c r="F37" s="107">
        <f>('[1]POOL-joueus'!$F$132)-13</f>
        <v>11</v>
      </c>
      <c r="G37" s="107">
        <f>('[1]POOL-joueus'!$G$132)-14</f>
        <v>12</v>
      </c>
      <c r="H37" s="44">
        <f t="shared" si="5"/>
        <v>23</v>
      </c>
      <c r="I37" s="45">
        <f t="shared" si="6"/>
        <v>0.7666666666666667</v>
      </c>
      <c r="J37" s="7"/>
      <c r="K37" s="7"/>
      <c r="L37" s="7"/>
      <c r="M37" s="8"/>
      <c r="N37" s="34" t="s">
        <v>58</v>
      </c>
      <c r="O37" s="27">
        <f>E25</f>
        <v>81</v>
      </c>
      <c r="P37" s="28">
        <f>H25</f>
        <v>4</v>
      </c>
      <c r="Q37" s="29">
        <f>P37/O37</f>
        <v>0.04938271604938271</v>
      </c>
      <c r="R37" s="28">
        <f>'[2]Individuel'!$I$75</f>
        <v>7.1</v>
      </c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</row>
    <row r="38" spans="2:21" ht="15" customHeight="1">
      <c r="B38" s="180">
        <f>'[1]POOL-joueus'!$B$126</f>
        <v>21.76164383561644</v>
      </c>
      <c r="C38" s="180" t="str">
        <f>'[1]POOL-joueus'!$C$126</f>
        <v>Edm</v>
      </c>
      <c r="D38" s="181" t="str">
        <f>'[1]POOL-joueus'!$D$126</f>
        <v>Andrew Cogliano</v>
      </c>
      <c r="E38" s="180">
        <v>1</v>
      </c>
      <c r="F38" s="180">
        <v>0</v>
      </c>
      <c r="G38" s="180">
        <v>2</v>
      </c>
      <c r="H38" s="187">
        <f>SUM(F38:G38)</f>
        <v>2</v>
      </c>
      <c r="I38" s="188">
        <f>H38/E38</f>
        <v>2</v>
      </c>
      <c r="J38" s="7"/>
      <c r="K38" s="7"/>
      <c r="L38" s="7"/>
      <c r="M38" s="8"/>
      <c r="N38" s="26" t="s">
        <v>59</v>
      </c>
      <c r="O38" s="27">
        <f>E25</f>
        <v>81</v>
      </c>
      <c r="P38" s="28">
        <f>G25</f>
        <v>16</v>
      </c>
      <c r="Q38" s="29">
        <f>P38/O38</f>
        <v>0.19753086419753085</v>
      </c>
      <c r="R38" s="28">
        <f>'[2]Individuel'!$N$75</f>
        <v>13.6</v>
      </c>
      <c r="U38" s="161"/>
    </row>
    <row r="39" spans="2:21" ht="15" customHeight="1" thickBot="1">
      <c r="B39" s="107">
        <f>'[1]POOL-joueus'!$B$246</f>
        <v>24.84109589041096</v>
      </c>
      <c r="C39" s="107" t="str">
        <f>'[1]POOL-joueus'!$C$246</f>
        <v>Wsh</v>
      </c>
      <c r="D39" s="124" t="str">
        <f>'[1]POOL-joueus'!$D$246</f>
        <v>Tomas Fleischman</v>
      </c>
      <c r="E39" s="107">
        <f>((('[1]POOL-joueus'!$E$246)-6)-7)-23</f>
        <v>23</v>
      </c>
      <c r="F39" s="107">
        <f>((('[1]POOL-joueus'!$F$246)-1)-3)-9</f>
        <v>4</v>
      </c>
      <c r="G39" s="107">
        <f>((('[1]POOL-joueus'!$G$246)-2)-0)-7</f>
        <v>6</v>
      </c>
      <c r="H39" s="44">
        <f t="shared" si="5"/>
        <v>10</v>
      </c>
      <c r="I39" s="45">
        <f t="shared" si="6"/>
        <v>0.43478260869565216</v>
      </c>
      <c r="J39" s="7"/>
      <c r="K39" s="7"/>
      <c r="L39" s="7"/>
      <c r="M39" s="8"/>
      <c r="N39" s="26" t="s">
        <v>38</v>
      </c>
      <c r="O39" s="70" t="e">
        <f>(B18+B23+B29+B30+B31+B32+B33+B40+B41+B42+B50+B51+B56+B52+B61+#REF!+B62+#REF!+B72+B74+B80+B82+B95+B99+B100+B106+B107+B108+B109+B114+B124+B125+B126+B135+B136+B137+B138+B143+B154)/39</f>
        <v>#REF!</v>
      </c>
      <c r="P39" s="61"/>
      <c r="Q39" s="62"/>
      <c r="R39" s="63"/>
      <c r="U39" s="161"/>
    </row>
    <row r="40" spans="2:30" ht="15" customHeight="1">
      <c r="B40" s="185">
        <f>'[1]POOL-joueus'!$B$440</f>
        <v>25.145205479452056</v>
      </c>
      <c r="C40" s="185" t="str">
        <f>'[1]POOL-joueus'!$C$440</f>
        <v>Tor</v>
      </c>
      <c r="D40" s="186" t="str">
        <f>'[1]POOL-joueus'!$D$440</f>
        <v>Jeremy Williams</v>
      </c>
      <c r="E40" s="185">
        <v>2</v>
      </c>
      <c r="F40" s="185">
        <v>0</v>
      </c>
      <c r="G40" s="185">
        <v>0</v>
      </c>
      <c r="H40" s="187">
        <f t="shared" si="5"/>
        <v>0</v>
      </c>
      <c r="I40" s="188">
        <f t="shared" si="6"/>
        <v>0</v>
      </c>
      <c r="J40" s="7"/>
      <c r="K40" s="7"/>
      <c r="L40" s="7"/>
      <c r="M40" s="8"/>
      <c r="N40" s="34" t="s">
        <v>39</v>
      </c>
      <c r="O40" s="70"/>
      <c r="P40" s="61"/>
      <c r="Q40" s="62"/>
      <c r="R40" s="63"/>
      <c r="U40" s="161"/>
      <c r="W40" s="265" t="s">
        <v>61</v>
      </c>
      <c r="X40" s="266"/>
      <c r="Y40" s="266"/>
      <c r="Z40" s="266"/>
      <c r="AA40" s="266"/>
      <c r="AB40" s="267"/>
      <c r="AC40"/>
      <c r="AD40"/>
    </row>
    <row r="41" spans="2:28" ht="15" customHeight="1" thickBot="1">
      <c r="B41" s="185">
        <f>'[1]POOL-joueus'!$B$206</f>
        <v>34.01917808219178</v>
      </c>
      <c r="C41" s="185" t="str">
        <f>'[1]POOL-joueus'!$C$206</f>
        <v>Col</v>
      </c>
      <c r="D41" s="186" t="str">
        <f>'[1]POOL-joueus'!$D$206</f>
        <v>Darcy Tucker</v>
      </c>
      <c r="E41" s="185">
        <v>19</v>
      </c>
      <c r="F41" s="185">
        <v>4</v>
      </c>
      <c r="G41" s="185">
        <v>3</v>
      </c>
      <c r="H41" s="187">
        <f t="shared" si="5"/>
        <v>7</v>
      </c>
      <c r="I41" s="188">
        <f t="shared" si="6"/>
        <v>0.3684210526315789</v>
      </c>
      <c r="J41" s="7"/>
      <c r="K41" s="7"/>
      <c r="L41" s="7"/>
      <c r="M41" s="8"/>
      <c r="N41" s="26" t="s">
        <v>40</v>
      </c>
      <c r="O41" s="70" t="e">
        <f>(B18+B23+B29+B30+B31+B32+B33+B40+B41+B42+B50+B51+B52+B56+B61+#REF!+B62+#REF!+B72+B74+B80+B82)/22</f>
        <v>#REF!</v>
      </c>
      <c r="P41" s="59"/>
      <c r="Q41" s="60"/>
      <c r="R41" s="125" t="e">
        <f>'[2]Individuel'!$N$61</f>
        <v>#REF!</v>
      </c>
      <c r="U41" s="161"/>
      <c r="W41" s="65" t="s">
        <v>8</v>
      </c>
      <c r="X41" s="66" t="s">
        <v>9</v>
      </c>
      <c r="Y41" s="66" t="s">
        <v>10</v>
      </c>
      <c r="Z41" s="65" t="s">
        <v>11</v>
      </c>
      <c r="AA41" s="65" t="s">
        <v>68</v>
      </c>
      <c r="AB41" s="65" t="s">
        <v>41</v>
      </c>
    </row>
    <row r="42" spans="2:28" ht="15" customHeight="1" thickBot="1" thickTop="1">
      <c r="B42" s="183">
        <f>'[1]POOL-joueus'!$B$140</f>
        <v>25.04931506849315</v>
      </c>
      <c r="C42" s="183" t="str">
        <f>'[1]POOL-joueus'!$C$140</f>
        <v>Stl</v>
      </c>
      <c r="D42" s="184" t="str">
        <f>'[1]POOL-joueus'!$D$140</f>
        <v>Alexander Steen</v>
      </c>
      <c r="E42" s="183">
        <v>2</v>
      </c>
      <c r="F42" s="183">
        <v>0</v>
      </c>
      <c r="G42" s="183">
        <v>0</v>
      </c>
      <c r="H42" s="187">
        <f t="shared" si="5"/>
        <v>0</v>
      </c>
      <c r="I42" s="188">
        <f t="shared" si="6"/>
        <v>0</v>
      </c>
      <c r="J42" s="7"/>
      <c r="K42" s="7"/>
      <c r="L42" s="7"/>
      <c r="M42" s="8"/>
      <c r="U42" s="161"/>
      <c r="W42" s="48" t="s">
        <v>42</v>
      </c>
      <c r="X42" s="21">
        <v>247</v>
      </c>
      <c r="Y42" s="22">
        <v>217</v>
      </c>
      <c r="Z42" s="23">
        <v>0.8785425101214575</v>
      </c>
      <c r="AA42" s="22">
        <v>191.9</v>
      </c>
      <c r="AB42" s="22" t="s">
        <v>146</v>
      </c>
    </row>
    <row r="43" spans="2:28" ht="15" customHeight="1">
      <c r="B43" s="183">
        <f>'[1]POOL-joueus'!$B$166</f>
        <v>26.12054794520548</v>
      </c>
      <c r="C43" s="183" t="str">
        <f>'[1]POOL-joueus'!$C$166</f>
        <v>Tor</v>
      </c>
      <c r="D43" s="184" t="str">
        <f>'[1]POOL-joueus'!$D$166</f>
        <v>Lee Stempniak</v>
      </c>
      <c r="E43" s="183">
        <v>19</v>
      </c>
      <c r="F43" s="183">
        <v>3</v>
      </c>
      <c r="G43" s="183">
        <v>9</v>
      </c>
      <c r="H43" s="187">
        <f t="shared" si="5"/>
        <v>12</v>
      </c>
      <c r="I43" s="188">
        <f t="shared" si="6"/>
        <v>0.631578947368421</v>
      </c>
      <c r="J43" s="7"/>
      <c r="K43" s="7"/>
      <c r="L43" s="7"/>
      <c r="M43" s="8"/>
      <c r="N43" s="265" t="s">
        <v>61</v>
      </c>
      <c r="O43" s="266"/>
      <c r="P43" s="266"/>
      <c r="Q43" s="266"/>
      <c r="R43" s="266"/>
      <c r="S43" s="267"/>
      <c r="T43" s="53"/>
      <c r="U43" s="161"/>
      <c r="W43" s="49" t="s">
        <v>43</v>
      </c>
      <c r="X43" s="21">
        <v>290</v>
      </c>
      <c r="Y43" s="22">
        <v>246</v>
      </c>
      <c r="Z43" s="23">
        <v>0.8482758620689655</v>
      </c>
      <c r="AA43" s="22">
        <v>207.1</v>
      </c>
      <c r="AB43" s="28" t="s">
        <v>155</v>
      </c>
    </row>
    <row r="44" spans="2:28" ht="15" customHeight="1" thickBot="1">
      <c r="B44" s="185">
        <f>'[1]POOL-joueus'!$B$35</f>
        <v>30.96986301369863</v>
      </c>
      <c r="C44" s="185" t="str">
        <f>'[1]POOL-joueus'!$C$35</f>
        <v>Nsh</v>
      </c>
      <c r="D44" s="186" t="str">
        <f>'[1]POOL-joueus'!$D$35</f>
        <v>Jean-Pierre Dumont</v>
      </c>
      <c r="E44" s="185">
        <v>14</v>
      </c>
      <c r="F44" s="185">
        <v>2</v>
      </c>
      <c r="G44" s="185">
        <v>14</v>
      </c>
      <c r="H44" s="187">
        <f t="shared" si="5"/>
        <v>16</v>
      </c>
      <c r="I44" s="188">
        <f t="shared" si="6"/>
        <v>1.1428571428571428</v>
      </c>
      <c r="J44" s="7"/>
      <c r="K44" s="7"/>
      <c r="L44" s="7"/>
      <c r="M44" s="8"/>
      <c r="N44" s="65" t="s">
        <v>8</v>
      </c>
      <c r="O44" s="66" t="s">
        <v>9</v>
      </c>
      <c r="P44" s="66" t="s">
        <v>10</v>
      </c>
      <c r="Q44" s="65" t="s">
        <v>11</v>
      </c>
      <c r="R44" s="65" t="s">
        <v>68</v>
      </c>
      <c r="S44" s="65" t="s">
        <v>41</v>
      </c>
      <c r="T44" s="164"/>
      <c r="U44" s="161"/>
      <c r="W44" s="49" t="s">
        <v>44</v>
      </c>
      <c r="X44" s="21">
        <v>314</v>
      </c>
      <c r="Y44" s="22">
        <v>277</v>
      </c>
      <c r="Z44" s="23">
        <v>0.8821656050955414</v>
      </c>
      <c r="AA44" s="22">
        <v>226.7</v>
      </c>
      <c r="AB44" s="28" t="s">
        <v>155</v>
      </c>
    </row>
    <row r="45" spans="2:28" ht="15" customHeight="1" thickBot="1" thickTop="1">
      <c r="B45" s="107"/>
      <c r="C45" s="107"/>
      <c r="D45" s="124"/>
      <c r="E45" s="166"/>
      <c r="F45" s="166"/>
      <c r="G45" s="166"/>
      <c r="H45" s="37">
        <f t="shared" si="5"/>
        <v>0</v>
      </c>
      <c r="I45" s="46" t="e">
        <f t="shared" si="6"/>
        <v>#DIV/0!</v>
      </c>
      <c r="J45" s="7"/>
      <c r="K45" s="144"/>
      <c r="L45" s="7"/>
      <c r="M45" s="8"/>
      <c r="N45" s="48" t="s">
        <v>233</v>
      </c>
      <c r="O45" s="21">
        <v>220</v>
      </c>
      <c r="P45" s="22">
        <v>170</v>
      </c>
      <c r="Q45" s="23">
        <f>P45/O45</f>
        <v>0.7727272727272727</v>
      </c>
      <c r="R45" s="22">
        <v>169.2</v>
      </c>
      <c r="S45" s="22" t="s">
        <v>151</v>
      </c>
      <c r="T45" s="53"/>
      <c r="U45" s="161"/>
      <c r="W45" s="49" t="s">
        <v>45</v>
      </c>
      <c r="X45" s="21">
        <v>302</v>
      </c>
      <c r="Y45" s="22">
        <v>215</v>
      </c>
      <c r="Z45" s="23">
        <v>0.7119205298013245</v>
      </c>
      <c r="AA45" s="22">
        <v>201.4</v>
      </c>
      <c r="AB45" s="28" t="s">
        <v>147</v>
      </c>
    </row>
    <row r="46" spans="2:28" ht="15" customHeight="1">
      <c r="B46" s="274" t="s">
        <v>26</v>
      </c>
      <c r="C46" s="275"/>
      <c r="D46" s="255"/>
      <c r="E46" s="14">
        <f>SUM(E29:E45)</f>
        <v>524</v>
      </c>
      <c r="F46" s="14">
        <f>SUM(F29:F45)</f>
        <v>158</v>
      </c>
      <c r="G46" s="14">
        <f>SUM(G29:G45)</f>
        <v>224</v>
      </c>
      <c r="H46" s="33">
        <f t="shared" si="5"/>
        <v>382</v>
      </c>
      <c r="I46" s="50">
        <f t="shared" si="6"/>
        <v>0.7290076335877863</v>
      </c>
      <c r="J46" s="7"/>
      <c r="K46" s="7"/>
      <c r="L46" s="7"/>
      <c r="M46" s="8"/>
      <c r="N46" s="49" t="s">
        <v>175</v>
      </c>
      <c r="O46" s="21">
        <v>294</v>
      </c>
      <c r="P46" s="22">
        <v>196</v>
      </c>
      <c r="Q46" s="23">
        <f>P46/O46</f>
        <v>0.6666666666666666</v>
      </c>
      <c r="R46" s="22">
        <v>220.7</v>
      </c>
      <c r="S46" s="28" t="s">
        <v>154</v>
      </c>
      <c r="T46" s="53"/>
      <c r="U46" s="161"/>
      <c r="W46" s="49" t="s">
        <v>46</v>
      </c>
      <c r="X46" s="21">
        <v>305</v>
      </c>
      <c r="Y46" s="22">
        <v>204</v>
      </c>
      <c r="Z46" s="23">
        <v>0.6688524590163935</v>
      </c>
      <c r="AA46" s="22">
        <v>207.9</v>
      </c>
      <c r="AB46" s="28" t="s">
        <v>151</v>
      </c>
    </row>
    <row r="47" spans="2:28" ht="1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8"/>
      <c r="N47" s="49" t="s">
        <v>176</v>
      </c>
      <c r="O47" s="21">
        <v>307</v>
      </c>
      <c r="P47" s="22">
        <v>211</v>
      </c>
      <c r="Q47" s="23">
        <f>P47/O47</f>
        <v>0.6872964169381107</v>
      </c>
      <c r="R47" s="22">
        <v>236.9</v>
      </c>
      <c r="S47" s="28" t="s">
        <v>152</v>
      </c>
      <c r="T47" s="53"/>
      <c r="U47" s="161"/>
      <c r="W47" s="49" t="s">
        <v>47</v>
      </c>
      <c r="X47" s="21">
        <v>310</v>
      </c>
      <c r="Y47" s="22">
        <v>202</v>
      </c>
      <c r="Z47" s="23">
        <v>0.6516129032258065</v>
      </c>
      <c r="AA47" s="22">
        <v>223.7</v>
      </c>
      <c r="AB47" s="28" t="s">
        <v>154</v>
      </c>
    </row>
    <row r="48" spans="2:28" ht="15" customHeight="1" thickBot="1">
      <c r="B48" s="256" t="s">
        <v>24</v>
      </c>
      <c r="C48" s="257"/>
      <c r="D48" s="257"/>
      <c r="E48" s="257"/>
      <c r="F48" s="257"/>
      <c r="G48" s="257"/>
      <c r="H48" s="257"/>
      <c r="I48" s="258"/>
      <c r="J48" s="7"/>
      <c r="K48" s="7"/>
      <c r="L48" s="7"/>
      <c r="M48" s="8"/>
      <c r="N48" s="49" t="s">
        <v>177</v>
      </c>
      <c r="O48" s="21">
        <v>265</v>
      </c>
      <c r="P48" s="22">
        <v>173</v>
      </c>
      <c r="Q48" s="23">
        <f>P48/O48</f>
        <v>0.6528301886792452</v>
      </c>
      <c r="R48" s="241">
        <v>209</v>
      </c>
      <c r="S48" s="28" t="s">
        <v>154</v>
      </c>
      <c r="T48" s="53"/>
      <c r="U48" s="161"/>
      <c r="W48" s="49" t="s">
        <v>48</v>
      </c>
      <c r="X48" s="21">
        <v>63</v>
      </c>
      <c r="Y48" s="22">
        <v>46</v>
      </c>
      <c r="Z48" s="23">
        <v>0.7301587301587301</v>
      </c>
      <c r="AA48" s="22">
        <v>42.1</v>
      </c>
      <c r="AB48" s="28" t="s">
        <v>149</v>
      </c>
    </row>
    <row r="49" spans="2:21" ht="15" customHeight="1" thickBot="1">
      <c r="B49" s="30" t="s">
        <v>15</v>
      </c>
      <c r="C49" s="30" t="s">
        <v>29</v>
      </c>
      <c r="D49" s="30" t="s">
        <v>17</v>
      </c>
      <c r="E49" s="31" t="s">
        <v>2</v>
      </c>
      <c r="F49" s="31" t="s">
        <v>21</v>
      </c>
      <c r="G49" s="31" t="s">
        <v>30</v>
      </c>
      <c r="H49" s="32" t="s">
        <v>6</v>
      </c>
      <c r="I49" s="31" t="s">
        <v>11</v>
      </c>
      <c r="J49" s="7"/>
      <c r="K49" s="7"/>
      <c r="L49" s="7"/>
      <c r="M49" s="8"/>
      <c r="N49" s="49" t="s">
        <v>178</v>
      </c>
      <c r="O49" s="21"/>
      <c r="P49" s="22"/>
      <c r="Q49" s="23"/>
      <c r="R49" s="22"/>
      <c r="S49" s="28"/>
      <c r="T49" s="53"/>
      <c r="U49" s="161"/>
    </row>
    <row r="50" spans="2:21" ht="15" customHeight="1" thickTop="1">
      <c r="B50" s="107">
        <f>'[1]POOL-joueus'!$B$118</f>
        <v>29.512328767123286</v>
      </c>
      <c r="C50" s="107" t="str">
        <f>'[1]POOL-joueus'!$C$118</f>
        <v>S.J.</v>
      </c>
      <c r="D50" s="124" t="str">
        <f>'[1]POOL-joueus'!$D$118</f>
        <v>Patrick Marleau</v>
      </c>
      <c r="E50" s="107">
        <f>'[1]POOL-joueus'!$E$118</f>
        <v>66</v>
      </c>
      <c r="F50" s="107">
        <f>'[1]POOL-joueus'!$F$118</f>
        <v>35</v>
      </c>
      <c r="G50" s="107">
        <f>'[1]POOL-joueus'!$G$118</f>
        <v>31</v>
      </c>
      <c r="H50" s="44">
        <f aca="true" t="shared" si="7" ref="H50:H57">SUM(F50:G50)</f>
        <v>66</v>
      </c>
      <c r="I50" s="45">
        <f aca="true" t="shared" si="8" ref="I50:I57">H50/E50</f>
        <v>1</v>
      </c>
      <c r="J50" s="7"/>
      <c r="K50" s="7"/>
      <c r="L50" s="7"/>
      <c r="M50" s="8"/>
      <c r="N50" s="49" t="s">
        <v>180</v>
      </c>
      <c r="O50" s="21"/>
      <c r="P50" s="22"/>
      <c r="Q50" s="23"/>
      <c r="R50" s="22"/>
      <c r="S50" s="28"/>
      <c r="T50" s="53"/>
      <c r="U50" s="161"/>
    </row>
    <row r="51" spans="2:21" ht="15" customHeight="1">
      <c r="B51" s="107">
        <f>'[1]POOL-joueus'!$B$41</f>
        <v>30.29041095890411</v>
      </c>
      <c r="C51" s="107" t="str">
        <f>'[1]POOL-joueus'!$C$41</f>
        <v>Cgy</v>
      </c>
      <c r="D51" s="124" t="str">
        <f>'[1]POOL-joueus'!$D$41</f>
        <v>Olli Jokinen</v>
      </c>
      <c r="E51" s="107">
        <f>('[1]POOL-joueus'!$E$41)</f>
        <v>62</v>
      </c>
      <c r="F51" s="107">
        <f>('[1]POOL-joueus'!$F$41)</f>
        <v>26</v>
      </c>
      <c r="G51" s="107">
        <f>('[1]POOL-joueus'!$G$41)</f>
        <v>21</v>
      </c>
      <c r="H51" s="44">
        <f t="shared" si="7"/>
        <v>47</v>
      </c>
      <c r="I51" s="45">
        <f t="shared" si="8"/>
        <v>0.7580645161290323</v>
      </c>
      <c r="J51" s="7"/>
      <c r="K51" s="7"/>
      <c r="L51" s="7"/>
      <c r="M51" s="8"/>
      <c r="N51" s="49" t="s">
        <v>179</v>
      </c>
      <c r="O51" s="21"/>
      <c r="P51" s="22"/>
      <c r="Q51" s="23"/>
      <c r="R51" s="22"/>
      <c r="S51" s="28"/>
      <c r="T51" s="53"/>
      <c r="U51" s="161"/>
    </row>
    <row r="52" spans="2:21" ht="15" customHeight="1">
      <c r="B52" s="107">
        <f>'[1]POOL-joueus'!$B$11</f>
        <v>22.764383561643836</v>
      </c>
      <c r="C52" s="107" t="str">
        <f>'[1]POOL-joueus'!$C$11</f>
        <v>Ott</v>
      </c>
      <c r="D52" s="124" t="str">
        <f>'[1]POOL-joueus'!$D$11</f>
        <v>Jason Spezza</v>
      </c>
      <c r="E52" s="107">
        <f>'[1]POOL-joueus'!$E$11</f>
        <v>67</v>
      </c>
      <c r="F52" s="107">
        <f>'[1]POOL-joueus'!$F$11</f>
        <v>25</v>
      </c>
      <c r="G52" s="107">
        <f>'[1]POOL-joueus'!$G$11</f>
        <v>32</v>
      </c>
      <c r="H52" s="44">
        <f t="shared" si="7"/>
        <v>57</v>
      </c>
      <c r="I52" s="45">
        <f t="shared" si="8"/>
        <v>0.8507462686567164</v>
      </c>
      <c r="J52" s="7"/>
      <c r="K52" s="7"/>
      <c r="L52" s="7"/>
      <c r="M52" s="8"/>
      <c r="U52" s="161"/>
    </row>
    <row r="53" spans="2:31" ht="15" customHeight="1">
      <c r="B53" s="109">
        <f>'[1]POOL-joueus'!$B$135</f>
        <v>26.02191780821918</v>
      </c>
      <c r="C53" s="109" t="str">
        <f>'[1]POOL-joueus'!$C$135</f>
        <v>Min</v>
      </c>
      <c r="D53" s="111" t="str">
        <f>'[1]POOL-joueus'!$D$135</f>
        <v>Mikko Koivu</v>
      </c>
      <c r="E53" s="108">
        <f>(('[1]POOL-joueus'!$E$135)-5)-8</f>
        <v>54</v>
      </c>
      <c r="F53" s="108">
        <f>(('[1]POOL-joueus'!$F$135)-1)-1</f>
        <v>15</v>
      </c>
      <c r="G53" s="108">
        <f>(('[1]POOL-joueus'!$G$135)-8)-5</f>
        <v>31</v>
      </c>
      <c r="H53" s="44">
        <f t="shared" si="7"/>
        <v>46</v>
      </c>
      <c r="I53" s="45">
        <f t="shared" si="8"/>
        <v>0.8518518518518519</v>
      </c>
      <c r="J53" s="7"/>
      <c r="K53" s="7"/>
      <c r="L53" s="7"/>
      <c r="M53" s="8"/>
      <c r="N53" s="1" t="s">
        <v>69</v>
      </c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</row>
    <row r="54" spans="2:21" ht="15" customHeight="1">
      <c r="B54" s="183">
        <f>'[1]POOL-joueus'!$B$216</f>
        <v>25.24931506849315</v>
      </c>
      <c r="C54" s="183" t="str">
        <f>'[1]POOL-joueus'!$C$216</f>
        <v>Tor</v>
      </c>
      <c r="D54" s="184" t="str">
        <f>'[1]POOL-joueus'!$D$216</f>
        <v>Matt Stajan</v>
      </c>
      <c r="E54" s="183">
        <v>7</v>
      </c>
      <c r="F54" s="183">
        <v>1</v>
      </c>
      <c r="G54" s="183">
        <v>2</v>
      </c>
      <c r="H54" s="187">
        <f t="shared" si="7"/>
        <v>3</v>
      </c>
      <c r="I54" s="188">
        <f t="shared" si="8"/>
        <v>0.42857142857142855</v>
      </c>
      <c r="J54" s="7"/>
      <c r="K54" s="7"/>
      <c r="L54" s="7"/>
      <c r="M54" s="8"/>
      <c r="N54" s="1" t="s">
        <v>67</v>
      </c>
      <c r="U54" s="161"/>
    </row>
    <row r="55" spans="2:31" ht="15" customHeight="1">
      <c r="B55" s="189">
        <f>'[1]POOL-joueus'!$B$33</f>
        <v>34.443835616438356</v>
      </c>
      <c r="C55" s="189" t="str">
        <f>'[1]POOL-joueus'!$C$33</f>
        <v>Nsh</v>
      </c>
      <c r="D55" s="190" t="str">
        <f>'[1]POOL-joueus'!$D$33</f>
        <v>Jason Arnott</v>
      </c>
      <c r="E55" s="185">
        <v>11</v>
      </c>
      <c r="F55" s="185">
        <v>6</v>
      </c>
      <c r="G55" s="185">
        <v>5</v>
      </c>
      <c r="H55" s="203">
        <f t="shared" si="7"/>
        <v>11</v>
      </c>
      <c r="I55" s="222">
        <f t="shared" si="8"/>
        <v>1</v>
      </c>
      <c r="J55" s="7"/>
      <c r="K55" s="7"/>
      <c r="L55" s="7"/>
      <c r="M55" s="8"/>
      <c r="O55"/>
      <c r="P55"/>
      <c r="Q55"/>
      <c r="R55"/>
      <c r="S55"/>
      <c r="T55"/>
      <c r="U55" s="161"/>
      <c r="W55"/>
      <c r="X55"/>
      <c r="Y55"/>
      <c r="Z55"/>
      <c r="AA55"/>
      <c r="AB55"/>
      <c r="AC55"/>
      <c r="AD55"/>
      <c r="AE55"/>
    </row>
    <row r="56" spans="2:31" ht="15" customHeight="1" thickBot="1">
      <c r="B56" s="183">
        <f>'[1]POOL-joueus'!$B$109</f>
        <v>26.87945205479452</v>
      </c>
      <c r="C56" s="183" t="str">
        <f>'[1]POOL-joueus'!$C$109</f>
        <v>Cbj</v>
      </c>
      <c r="D56" s="184" t="str">
        <f>'[1]POOL-joueus'!$D$109</f>
        <v>R.J. Umberger</v>
      </c>
      <c r="E56" s="196">
        <v>3</v>
      </c>
      <c r="F56" s="196">
        <v>0</v>
      </c>
      <c r="G56" s="196">
        <v>1</v>
      </c>
      <c r="H56" s="197">
        <f t="shared" si="7"/>
        <v>1</v>
      </c>
      <c r="I56" s="198">
        <f t="shared" si="8"/>
        <v>0.3333333333333333</v>
      </c>
      <c r="J56" s="7"/>
      <c r="K56" s="7"/>
      <c r="L56" s="7"/>
      <c r="M56" s="2"/>
      <c r="O56"/>
      <c r="P56"/>
      <c r="Q56"/>
      <c r="R56"/>
      <c r="S56"/>
      <c r="T56"/>
      <c r="U56" s="161"/>
      <c r="W56"/>
      <c r="X56"/>
      <c r="Y56"/>
      <c r="Z56"/>
      <c r="AA56"/>
      <c r="AB56"/>
      <c r="AC56"/>
      <c r="AD56"/>
      <c r="AE56"/>
    </row>
    <row r="57" spans="2:31" ht="12.75">
      <c r="B57" s="274" t="s">
        <v>26</v>
      </c>
      <c r="C57" s="275"/>
      <c r="D57" s="255"/>
      <c r="E57" s="14">
        <f>SUM(E50:E56)</f>
        <v>270</v>
      </c>
      <c r="F57" s="14">
        <f>SUM(F50:F56)</f>
        <v>108</v>
      </c>
      <c r="G57" s="14">
        <f>SUM(G50:G56)</f>
        <v>123</v>
      </c>
      <c r="H57" s="33">
        <f t="shared" si="7"/>
        <v>231</v>
      </c>
      <c r="I57" s="50">
        <f t="shared" si="8"/>
        <v>0.8555555555555555</v>
      </c>
      <c r="J57" s="7"/>
      <c r="K57" s="7"/>
      <c r="L57" s="7"/>
      <c r="M57" s="2"/>
      <c r="O57"/>
      <c r="P57"/>
      <c r="Q57"/>
      <c r="R57"/>
      <c r="S57"/>
      <c r="T57"/>
      <c r="U57" s="161"/>
      <c r="W57"/>
      <c r="X57"/>
      <c r="Y57"/>
      <c r="Z57"/>
      <c r="AA57"/>
      <c r="AB57"/>
      <c r="AC57"/>
      <c r="AD57"/>
      <c r="AE57"/>
    </row>
    <row r="58" spans="2:31" ht="15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2"/>
      <c r="O58"/>
      <c r="P58"/>
      <c r="Q58"/>
      <c r="R58"/>
      <c r="S58"/>
      <c r="T58"/>
      <c r="U58" s="161"/>
      <c r="W58"/>
      <c r="X58"/>
      <c r="Y58"/>
      <c r="Z58"/>
      <c r="AA58"/>
      <c r="AB58"/>
      <c r="AC58"/>
      <c r="AD58"/>
      <c r="AE58"/>
    </row>
    <row r="59" spans="2:31" ht="15" customHeight="1" thickBot="1">
      <c r="B59" s="256" t="s">
        <v>25</v>
      </c>
      <c r="C59" s="257"/>
      <c r="D59" s="257"/>
      <c r="E59" s="257"/>
      <c r="F59" s="257"/>
      <c r="G59" s="257"/>
      <c r="H59" s="257"/>
      <c r="I59" s="258"/>
      <c r="J59" s="7"/>
      <c r="K59" s="7"/>
      <c r="L59" s="7"/>
      <c r="M59" s="2"/>
      <c r="O59"/>
      <c r="P59"/>
      <c r="Q59"/>
      <c r="R59"/>
      <c r="S59"/>
      <c r="T59"/>
      <c r="U59" s="161"/>
      <c r="W59"/>
      <c r="X59"/>
      <c r="Y59"/>
      <c r="Z59"/>
      <c r="AA59"/>
      <c r="AB59"/>
      <c r="AC59"/>
      <c r="AD59"/>
      <c r="AE59"/>
    </row>
    <row r="60" spans="2:31" ht="15" customHeight="1" thickBot="1">
      <c r="B60" s="30" t="s">
        <v>15</v>
      </c>
      <c r="C60" s="30" t="s">
        <v>29</v>
      </c>
      <c r="D60" s="30" t="s">
        <v>17</v>
      </c>
      <c r="E60" s="31" t="s">
        <v>2</v>
      </c>
      <c r="F60" s="31" t="s">
        <v>21</v>
      </c>
      <c r="G60" s="31" t="s">
        <v>30</v>
      </c>
      <c r="H60" s="32" t="s">
        <v>6</v>
      </c>
      <c r="I60" s="31" t="s">
        <v>11</v>
      </c>
      <c r="J60" s="7"/>
      <c r="K60" s="7"/>
      <c r="L60" s="7"/>
      <c r="M60" s="2"/>
      <c r="O60"/>
      <c r="P60"/>
      <c r="Q60"/>
      <c r="R60"/>
      <c r="S60"/>
      <c r="T60"/>
      <c r="U60" s="161"/>
      <c r="W60"/>
      <c r="X60"/>
      <c r="Y60"/>
      <c r="Z60"/>
      <c r="AA60"/>
      <c r="AB60"/>
      <c r="AC60"/>
      <c r="AD60"/>
      <c r="AE60"/>
    </row>
    <row r="61" spans="2:31" ht="15" customHeight="1" thickTop="1">
      <c r="B61" s="108">
        <f>'[1]POOL-joueus'!$B$81</f>
        <v>23.432876712328767</v>
      </c>
      <c r="C61" s="108" t="str">
        <f>'[1]POOL-joueus'!$C$81</f>
        <v>Wsh</v>
      </c>
      <c r="D61" s="110" t="str">
        <f>'[1]POOL-joueus'!$D$81</f>
        <v>Mike Green</v>
      </c>
      <c r="E61" s="108">
        <f>'[1]POOL-joueus'!$E$81</f>
        <v>55</v>
      </c>
      <c r="F61" s="108">
        <f>'[1]POOL-joueus'!$F$81</f>
        <v>23</v>
      </c>
      <c r="G61" s="108">
        <f>'[1]POOL-joueus'!$G$81</f>
        <v>36</v>
      </c>
      <c r="H61" s="44">
        <f aca="true" t="shared" si="9" ref="H61:H66">SUM(F61:G61)</f>
        <v>59</v>
      </c>
      <c r="I61" s="45">
        <f aca="true" t="shared" si="10" ref="I61:I66">H61/E61</f>
        <v>1.0727272727272728</v>
      </c>
      <c r="J61" s="145"/>
      <c r="K61" s="7"/>
      <c r="L61" s="7"/>
      <c r="M61" s="2"/>
      <c r="O61"/>
      <c r="P61"/>
      <c r="Q61"/>
      <c r="R61"/>
      <c r="S61"/>
      <c r="T61"/>
      <c r="U61" s="162"/>
      <c r="W61"/>
      <c r="X61"/>
      <c r="Y61"/>
      <c r="Z61"/>
      <c r="AA61"/>
      <c r="AB61"/>
      <c r="AC61"/>
      <c r="AD61"/>
      <c r="AE61"/>
    </row>
    <row r="62" spans="2:31" ht="15" customHeight="1">
      <c r="B62" s="107">
        <f>'[1]POOL-joueus'!$B$324</f>
        <v>25.66849315068493</v>
      </c>
      <c r="C62" s="107" t="str">
        <f>'[1]POOL-joueus'!$C$324</f>
        <v>Cbj</v>
      </c>
      <c r="D62" s="124" t="str">
        <f>'[1]POOL-joueus'!$D$324</f>
        <v>Fedor Tyutin</v>
      </c>
      <c r="E62" s="107">
        <f>('[1]POOL-joueus'!$E$324)-19</f>
        <v>49</v>
      </c>
      <c r="F62" s="107">
        <f>('[1]POOL-joueus'!$F$324)-1</f>
        <v>7</v>
      </c>
      <c r="G62" s="107">
        <f>('[1]POOL-joueus'!$G$324)-7</f>
        <v>16</v>
      </c>
      <c r="H62" s="44">
        <f t="shared" si="9"/>
        <v>23</v>
      </c>
      <c r="I62" s="45">
        <f t="shared" si="10"/>
        <v>0.46938775510204084</v>
      </c>
      <c r="J62" s="7"/>
      <c r="K62" s="7"/>
      <c r="L62" s="7"/>
      <c r="M62" s="2"/>
      <c r="O62"/>
      <c r="P62"/>
      <c r="Q62"/>
      <c r="R62"/>
      <c r="S62"/>
      <c r="T62"/>
      <c r="U62" s="162"/>
      <c r="W62"/>
      <c r="X62"/>
      <c r="Y62"/>
      <c r="Z62"/>
      <c r="AA62"/>
      <c r="AB62"/>
      <c r="AC62"/>
      <c r="AD62"/>
      <c r="AE62"/>
    </row>
    <row r="63" spans="2:31" ht="15" customHeight="1">
      <c r="B63" s="106">
        <f>'[1]POOL-joueus'!$B$774</f>
        <v>22.523287671232875</v>
      </c>
      <c r="C63" s="106" t="str">
        <f>'[1]POOL-joueus'!$C$774</f>
        <v>Phx</v>
      </c>
      <c r="D63" s="126" t="str">
        <f>'[1]POOL-joueus'!$D$774</f>
        <v>Keith Yandle</v>
      </c>
      <c r="E63" s="107">
        <f>('[1]POOL-joueus'!$E$774)-25</f>
        <v>31</v>
      </c>
      <c r="F63" s="107">
        <f>('[1]POOL-joueus'!$F$774)-4</f>
        <v>0</v>
      </c>
      <c r="G63" s="107">
        <f>('[1]POOL-joueus'!$G$774)-12</f>
        <v>10</v>
      </c>
      <c r="H63" s="44">
        <f t="shared" si="9"/>
        <v>10</v>
      </c>
      <c r="I63" s="45">
        <f t="shared" si="10"/>
        <v>0.3225806451612903</v>
      </c>
      <c r="J63" s="7"/>
      <c r="K63" s="7"/>
      <c r="L63" s="7"/>
      <c r="M63" s="2"/>
      <c r="O63"/>
      <c r="P63"/>
      <c r="Q63"/>
      <c r="R63"/>
      <c r="S63"/>
      <c r="T63"/>
      <c r="U63" s="161"/>
      <c r="W63"/>
      <c r="X63"/>
      <c r="Y63"/>
      <c r="Z63"/>
      <c r="AA63"/>
      <c r="AB63"/>
      <c r="AC63"/>
      <c r="AD63"/>
      <c r="AE63"/>
    </row>
    <row r="64" spans="2:21" ht="15" customHeight="1">
      <c r="B64" s="107">
        <f>'[1]POOL-joueus'!$B$572</f>
        <v>27.753424657534246</v>
      </c>
      <c r="C64" s="107" t="str">
        <f>'[1]POOL-joueus'!$C$572</f>
        <v>Car</v>
      </c>
      <c r="D64" s="124" t="str">
        <f>'[1]POOL-joueus'!$D$572</f>
        <v>Dennis Seidenberg</v>
      </c>
      <c r="E64" s="107">
        <f>((('[1]POOL-joueus'!$E$572)-19)-23)-4</f>
        <v>12</v>
      </c>
      <c r="F64" s="107">
        <f>((('[1]POOL-joueus'!$F$572)-2)-1)-0</f>
        <v>1</v>
      </c>
      <c r="G64" s="107">
        <f>((('[1]POOL-joueus'!$G$572)-8)-7)-1</f>
        <v>3</v>
      </c>
      <c r="H64" s="44">
        <f t="shared" si="9"/>
        <v>4</v>
      </c>
      <c r="I64" s="45">
        <f t="shared" si="10"/>
        <v>0.3333333333333333</v>
      </c>
      <c r="J64" s="7"/>
      <c r="K64" s="7"/>
      <c r="L64" s="7"/>
      <c r="M64" s="2"/>
      <c r="O64"/>
      <c r="P64"/>
      <c r="Q64"/>
      <c r="R64"/>
      <c r="S64"/>
      <c r="T64"/>
      <c r="U64" s="161"/>
    </row>
    <row r="65" spans="2:21" ht="12.75">
      <c r="B65" s="109">
        <f>'[1]POOL-joueus'!$B$249</f>
        <v>31.997260273972604</v>
      </c>
      <c r="C65" s="109" t="str">
        <f>'[1]POOL-joueus'!$C$249</f>
        <v>Wsh</v>
      </c>
      <c r="D65" s="111" t="str">
        <f>'[1]POOL-joueus'!$D$249</f>
        <v>Tom Poti</v>
      </c>
      <c r="E65" s="109">
        <f>((('[1]POOL-joueus'!$E$249))-7)-27</f>
        <v>7</v>
      </c>
      <c r="F65" s="109">
        <f>((('[1]POOL-joueus'!$F$249)))-3</f>
        <v>0</v>
      </c>
      <c r="G65" s="109">
        <f>((('[1]POOL-joueus'!$G$249))-2)-7</f>
        <v>1</v>
      </c>
      <c r="H65" s="44">
        <f t="shared" si="9"/>
        <v>1</v>
      </c>
      <c r="I65" s="45">
        <f t="shared" si="10"/>
        <v>0.14285714285714285</v>
      </c>
      <c r="J65" s="7"/>
      <c r="K65" s="7"/>
      <c r="L65" s="7"/>
      <c r="M65" s="2"/>
      <c r="O65"/>
      <c r="P65"/>
      <c r="Q65"/>
      <c r="R65"/>
      <c r="S65"/>
      <c r="T65"/>
      <c r="U65" s="161"/>
    </row>
    <row r="66" spans="1:21" ht="15" customHeight="1">
      <c r="A66" s="14" t="s">
        <v>237</v>
      </c>
      <c r="B66" s="108">
        <f>'[1]POOL-joueus'!$B$566</f>
        <v>21.980821917808218</v>
      </c>
      <c r="C66" s="108" t="str">
        <f>'[1]POOL-joueus'!$C$566</f>
        <v>Ott</v>
      </c>
      <c r="D66" s="110" t="str">
        <f>'[1]POOL-joueus'!$D$566</f>
        <v>Brian Lee</v>
      </c>
      <c r="E66" s="108">
        <f>(('[1]POOL-joueus'!$E$566)-32)-3</f>
        <v>4</v>
      </c>
      <c r="F66" s="108">
        <f>(('[1]POOL-joueus'!$F$566)-2)-0</f>
        <v>0</v>
      </c>
      <c r="G66" s="108">
        <f>(('[1]POOL-joueus'!$G$566)-8)-1</f>
        <v>0</v>
      </c>
      <c r="H66" s="44">
        <f t="shared" si="9"/>
        <v>0</v>
      </c>
      <c r="I66" s="45">
        <f t="shared" si="10"/>
        <v>0</v>
      </c>
      <c r="J66" s="7"/>
      <c r="K66" s="7"/>
      <c r="L66" s="7"/>
      <c r="M66" s="2"/>
      <c r="O66"/>
      <c r="P66"/>
      <c r="Q66"/>
      <c r="R66"/>
      <c r="S66"/>
      <c r="T66"/>
      <c r="U66" s="161"/>
    </row>
    <row r="67" spans="2:21" ht="15" customHeight="1">
      <c r="B67" s="183">
        <f>'[1]POOL-joueus'!$B$107</f>
        <v>32.73424657534247</v>
      </c>
      <c r="C67" s="183" t="str">
        <f>'[1]POOL-joueus'!$C$107</f>
        <v>Phx</v>
      </c>
      <c r="D67" s="184" t="str">
        <f>'[1]POOL-joueus'!$D$107</f>
        <v>Ed Jovanovski</v>
      </c>
      <c r="E67" s="183">
        <v>58</v>
      </c>
      <c r="F67" s="183">
        <v>5</v>
      </c>
      <c r="G67" s="183">
        <v>23</v>
      </c>
      <c r="H67" s="187">
        <f aca="true" t="shared" si="11" ref="H67:H72">SUM(F67:G67)</f>
        <v>28</v>
      </c>
      <c r="I67" s="188">
        <f aca="true" t="shared" si="12" ref="I67:I72">H67/E67</f>
        <v>0.4827586206896552</v>
      </c>
      <c r="J67" s="7"/>
      <c r="K67" s="7"/>
      <c r="L67" s="7"/>
      <c r="M67" s="2"/>
      <c r="O67"/>
      <c r="P67"/>
      <c r="Q67"/>
      <c r="R67"/>
      <c r="S67"/>
      <c r="T67"/>
      <c r="U67" s="161"/>
    </row>
    <row r="68" spans="2:21" ht="15" customHeight="1">
      <c r="B68" s="185">
        <f>'[1]POOL-joueus'!$B$235</f>
        <v>32.224657534246575</v>
      </c>
      <c r="C68" s="185" t="str">
        <f>'[1]POOL-joueus'!$C$235</f>
        <v>Ott</v>
      </c>
      <c r="D68" s="186" t="str">
        <f>'[1]POOL-joueus'!$D$235</f>
        <v>Filip Kuba</v>
      </c>
      <c r="E68" s="185">
        <v>50</v>
      </c>
      <c r="F68" s="185">
        <v>1</v>
      </c>
      <c r="G68" s="185">
        <v>27</v>
      </c>
      <c r="H68" s="187">
        <f>SUM(F68:G68)</f>
        <v>28</v>
      </c>
      <c r="I68" s="188">
        <f>H68/E68</f>
        <v>0.56</v>
      </c>
      <c r="J68" s="7"/>
      <c r="K68" s="7"/>
      <c r="L68" s="7"/>
      <c r="M68" s="2"/>
      <c r="O68"/>
      <c r="P68"/>
      <c r="Q68"/>
      <c r="R68"/>
      <c r="S68"/>
      <c r="T68"/>
      <c r="U68" s="161"/>
    </row>
    <row r="69" spans="2:21" ht="15" customHeight="1">
      <c r="B69" s="185">
        <f>'[1]POOL-joueus'!$B$772</f>
        <v>24.887671232876713</v>
      </c>
      <c r="C69" s="185" t="str">
        <f>'[1]POOL-joueus'!$C$772</f>
        <v>Nyr</v>
      </c>
      <c r="D69" s="186" t="str">
        <f>'[1]POOL-joueus'!$D$772</f>
        <v>Dan Girardi</v>
      </c>
      <c r="E69" s="185">
        <v>61</v>
      </c>
      <c r="F69" s="185">
        <v>3</v>
      </c>
      <c r="G69" s="185">
        <v>13</v>
      </c>
      <c r="H69" s="187">
        <f>SUM(F69:G69)</f>
        <v>16</v>
      </c>
      <c r="I69" s="188">
        <f>H69/E69</f>
        <v>0.26229508196721313</v>
      </c>
      <c r="J69" s="7"/>
      <c r="K69" s="7"/>
      <c r="L69" s="7"/>
      <c r="M69" s="2"/>
      <c r="O69"/>
      <c r="P69"/>
      <c r="Q69"/>
      <c r="R69"/>
      <c r="S69"/>
      <c r="T69"/>
      <c r="U69" s="161"/>
    </row>
    <row r="70" spans="2:21" ht="15" customHeight="1">
      <c r="B70" s="189">
        <f>'[1]POOL-joueus'!$B$285</f>
        <v>32.52876712328767</v>
      </c>
      <c r="C70" s="189" t="str">
        <f>'[1]POOL-joueus'!$C$285</f>
        <v>Van</v>
      </c>
      <c r="D70" s="190" t="str">
        <f>'[1]POOL-joueus'!$D$285</f>
        <v>Mattias Ohlund</v>
      </c>
      <c r="E70" s="189">
        <v>7</v>
      </c>
      <c r="F70" s="189">
        <v>1</v>
      </c>
      <c r="G70" s="189">
        <v>1</v>
      </c>
      <c r="H70" s="187">
        <f t="shared" si="11"/>
        <v>2</v>
      </c>
      <c r="I70" s="188">
        <f t="shared" si="12"/>
        <v>0.2857142857142857</v>
      </c>
      <c r="J70" s="7"/>
      <c r="K70" s="7"/>
      <c r="L70" s="7"/>
      <c r="M70" s="2"/>
      <c r="O70" s="128"/>
      <c r="P70" s="128"/>
      <c r="Q70" s="128"/>
      <c r="R70" s="128"/>
      <c r="S70" s="128"/>
      <c r="U70" s="161"/>
    </row>
    <row r="71" spans="2:21" ht="12.75">
      <c r="B71" s="180">
        <f>'[1]POOL-joueus'!$B$231</f>
        <v>27.65753424657534</v>
      </c>
      <c r="C71" s="180" t="str">
        <f>'[1]POOL-joueus'!$C$231</f>
        <v>Phi</v>
      </c>
      <c r="D71" s="181" t="str">
        <f>'[1]POOL-joueus'!$D$231</f>
        <v>Randy Jones</v>
      </c>
      <c r="E71" s="183">
        <v>22</v>
      </c>
      <c r="F71" s="183">
        <v>3</v>
      </c>
      <c r="G71" s="183">
        <v>2</v>
      </c>
      <c r="H71" s="187">
        <f t="shared" si="11"/>
        <v>5</v>
      </c>
      <c r="I71" s="188">
        <f t="shared" si="12"/>
        <v>0.22727272727272727</v>
      </c>
      <c r="J71" s="7"/>
      <c r="K71" s="7"/>
      <c r="L71" s="7"/>
      <c r="M71" s="2"/>
      <c r="U71" s="161"/>
    </row>
    <row r="72" spans="2:21" ht="15" customHeight="1">
      <c r="B72" s="189">
        <f>'[1]POOL-joueus'!$B$226</f>
        <v>25.676712328767124</v>
      </c>
      <c r="C72" s="189" t="str">
        <f>'[1]POOL-joueus'!$C$226</f>
        <v>Chi</v>
      </c>
      <c r="D72" s="190" t="str">
        <f>'[1]POOL-joueus'!$D$226</f>
        <v>Duncan Keith</v>
      </c>
      <c r="E72" s="185">
        <v>27</v>
      </c>
      <c r="F72" s="185">
        <v>2</v>
      </c>
      <c r="G72" s="185">
        <v>7</v>
      </c>
      <c r="H72" s="187">
        <f t="shared" si="11"/>
        <v>9</v>
      </c>
      <c r="I72" s="188">
        <f t="shared" si="12"/>
        <v>0.3333333333333333</v>
      </c>
      <c r="J72" s="7"/>
      <c r="K72" s="7"/>
      <c r="L72" s="7"/>
      <c r="M72" s="2"/>
      <c r="U72" s="161"/>
    </row>
    <row r="73" spans="2:21" ht="15" customHeight="1">
      <c r="B73" s="189">
        <f>'[1]POOL-joueus'!$B$193</f>
        <v>38.66849315068493</v>
      </c>
      <c r="C73" s="189" t="str">
        <f>'[1]POOL-joueus'!$C$193</f>
        <v>Dal</v>
      </c>
      <c r="D73" s="190" t="str">
        <f>'[1]POOL-joueus'!$D$193</f>
        <v>Sergei Zubov</v>
      </c>
      <c r="E73" s="189">
        <v>10</v>
      </c>
      <c r="F73" s="189">
        <v>0</v>
      </c>
      <c r="G73" s="189">
        <v>4</v>
      </c>
      <c r="H73" s="187">
        <f>SUM(F73:G73)</f>
        <v>4</v>
      </c>
      <c r="I73" s="188">
        <f>H73/E73</f>
        <v>0.4</v>
      </c>
      <c r="J73" s="7"/>
      <c r="K73" s="7"/>
      <c r="L73" s="7"/>
      <c r="M73" s="2"/>
      <c r="U73" s="161"/>
    </row>
    <row r="74" spans="2:21" ht="15" customHeight="1">
      <c r="B74" s="185">
        <f>'[1]POOL-joueus'!$B$294</f>
        <v>29.36986301369863</v>
      </c>
      <c r="C74" s="185" t="str">
        <f>'[1]POOL-joueus'!$C$294</f>
        <v>Det</v>
      </c>
      <c r="D74" s="186" t="str">
        <f>'[1]POOL-joueus'!$D$294</f>
        <v>Brad Stuart</v>
      </c>
      <c r="E74" s="185">
        <v>2</v>
      </c>
      <c r="F74" s="185">
        <v>0</v>
      </c>
      <c r="G74" s="185">
        <v>0</v>
      </c>
      <c r="H74" s="187">
        <f>SUM(F74:G74)</f>
        <v>0</v>
      </c>
      <c r="I74" s="188">
        <f>H74/E74</f>
        <v>0</v>
      </c>
      <c r="J74" s="7"/>
      <c r="K74" s="7"/>
      <c r="L74" s="7"/>
      <c r="M74" s="2"/>
      <c r="U74" s="161"/>
    </row>
    <row r="75" spans="2:21" ht="15" customHeight="1" thickBot="1">
      <c r="B75" s="109"/>
      <c r="C75" s="109"/>
      <c r="D75" s="111"/>
      <c r="E75" s="137"/>
      <c r="F75" s="137"/>
      <c r="G75" s="137"/>
      <c r="H75" s="37">
        <f>SUM(F75:G75)</f>
        <v>0</v>
      </c>
      <c r="I75" s="46" t="e">
        <f>H75/E75</f>
        <v>#DIV/0!</v>
      </c>
      <c r="J75" s="7"/>
      <c r="K75" s="7"/>
      <c r="L75" s="7"/>
      <c r="M75" s="2"/>
      <c r="U75" s="161"/>
    </row>
    <row r="76" spans="2:21" ht="15" customHeight="1">
      <c r="B76" s="274" t="s">
        <v>26</v>
      </c>
      <c r="C76" s="275"/>
      <c r="D76" s="255"/>
      <c r="E76" s="14">
        <f>SUM(E61:E75)</f>
        <v>395</v>
      </c>
      <c r="F76" s="14">
        <f>SUM(F61:F75)</f>
        <v>46</v>
      </c>
      <c r="G76" s="14">
        <f>SUM(G61:G75)</f>
        <v>143</v>
      </c>
      <c r="H76" s="33">
        <f>SUM(F76:G76)</f>
        <v>189</v>
      </c>
      <c r="I76" s="50">
        <f>H76/E76</f>
        <v>0.47848101265822784</v>
      </c>
      <c r="J76" s="7"/>
      <c r="K76" s="7"/>
      <c r="L76" s="7"/>
      <c r="M76" s="2"/>
      <c r="U76" s="161"/>
    </row>
    <row r="77" spans="2:21" ht="15" customHeight="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2"/>
      <c r="U77" s="161"/>
    </row>
    <row r="78" spans="2:21" ht="15" customHeight="1" thickBot="1">
      <c r="B78" s="256" t="s">
        <v>27</v>
      </c>
      <c r="C78" s="257"/>
      <c r="D78" s="257"/>
      <c r="E78" s="257"/>
      <c r="F78" s="257"/>
      <c r="G78" s="257"/>
      <c r="H78" s="257"/>
      <c r="I78" s="258"/>
      <c r="J78" s="7"/>
      <c r="K78" s="7"/>
      <c r="L78" s="7"/>
      <c r="M78" s="2"/>
      <c r="U78" s="161"/>
    </row>
    <row r="79" spans="1:21" ht="15" customHeight="1" thickBot="1">
      <c r="A79" s="30" t="s">
        <v>143</v>
      </c>
      <c r="B79" s="30" t="s">
        <v>15</v>
      </c>
      <c r="C79" s="30" t="s">
        <v>29</v>
      </c>
      <c r="D79" s="30" t="s">
        <v>17</v>
      </c>
      <c r="E79" s="31" t="s">
        <v>2</v>
      </c>
      <c r="F79" s="31" t="s">
        <v>21</v>
      </c>
      <c r="G79" s="31" t="s">
        <v>30</v>
      </c>
      <c r="H79" s="32" t="s">
        <v>6</v>
      </c>
      <c r="I79" s="31" t="s">
        <v>11</v>
      </c>
      <c r="J79" s="7"/>
      <c r="K79" s="7"/>
      <c r="L79" s="7"/>
      <c r="M79" s="2"/>
      <c r="U79" s="161"/>
    </row>
    <row r="80" spans="1:21" ht="15" customHeight="1" thickTop="1">
      <c r="A80" s="180" t="s">
        <v>145</v>
      </c>
      <c r="B80" s="180">
        <f>'[1]POOL-joueus'!$B$629</f>
        <v>22.67945205479452</v>
      </c>
      <c r="C80" s="180" t="str">
        <f>'[1]POOL-joueus'!$C$629</f>
        <v>Tor</v>
      </c>
      <c r="D80" s="181" t="str">
        <f>'[1]POOL-joueus'!$D$629</f>
        <v>Nikolai Kulemin</v>
      </c>
      <c r="E80" s="180">
        <v>40</v>
      </c>
      <c r="F80" s="180">
        <v>7</v>
      </c>
      <c r="G80" s="180">
        <v>7</v>
      </c>
      <c r="H80" s="187">
        <f>SUM(F80:G80)</f>
        <v>14</v>
      </c>
      <c r="I80" s="188">
        <f>H80/E80</f>
        <v>0.35</v>
      </c>
      <c r="J80" s="7"/>
      <c r="K80" s="7"/>
      <c r="L80" s="7"/>
      <c r="M80" s="2"/>
      <c r="U80" s="161"/>
    </row>
    <row r="81" spans="1:21" ht="15" customHeight="1">
      <c r="A81" s="43" t="s">
        <v>145</v>
      </c>
      <c r="B81" s="107">
        <f>'[1]POOL-joueus'!$B$802</f>
        <v>22.90684931506849</v>
      </c>
      <c r="C81" s="107" t="str">
        <f>'[1]POOL-joueus'!$C$802</f>
        <v>Phx</v>
      </c>
      <c r="D81" s="124" t="str">
        <f>'[1]POOL-joueus'!$D$802</f>
        <v>Enver Lisin</v>
      </c>
      <c r="E81" s="219">
        <f>(((('[1]POOL-joueus'!$E$802)-9)))-17</f>
        <v>19</v>
      </c>
      <c r="F81" s="219">
        <f>(((('[1]POOL-joueus'!$F$802)-4)))-2</f>
        <v>4</v>
      </c>
      <c r="G81" s="219">
        <f>(((('[1]POOL-joueus'!$G$802)-2)))-4</f>
        <v>1</v>
      </c>
      <c r="H81" s="44">
        <f>SUM(F81:G81)</f>
        <v>5</v>
      </c>
      <c r="I81" s="45">
        <f>H81/E81</f>
        <v>0.2631578947368421</v>
      </c>
      <c r="J81" s="7"/>
      <c r="K81" s="7"/>
      <c r="L81" s="7"/>
      <c r="M81" s="2"/>
      <c r="U81" s="161"/>
    </row>
    <row r="82" spans="1:21" ht="15" customHeight="1" thickBot="1">
      <c r="A82" s="43" t="s">
        <v>145</v>
      </c>
      <c r="B82" s="107">
        <f>'[1]POOL-joueus'!$B$787</f>
        <v>22.54794520547945</v>
      </c>
      <c r="C82" s="107" t="str">
        <f>'[1]POOL-joueus'!$C$787</f>
        <v>Bos</v>
      </c>
      <c r="D82" s="124" t="str">
        <f>'[1]POOL-joueus'!$D$787</f>
        <v>Blake Wheeler</v>
      </c>
      <c r="E82" s="123">
        <f>'[1]POOL-joueus'!$E$787</f>
        <v>68</v>
      </c>
      <c r="F82" s="123">
        <f>'[1]POOL-joueus'!$F$787</f>
        <v>17</v>
      </c>
      <c r="G82" s="123">
        <f>'[1]POOL-joueus'!$G$787</f>
        <v>21</v>
      </c>
      <c r="H82" s="37">
        <f>SUM(F82:G82)</f>
        <v>38</v>
      </c>
      <c r="I82" s="46">
        <f>H82/E82</f>
        <v>0.5588235294117647</v>
      </c>
      <c r="J82" s="7"/>
      <c r="K82" s="7"/>
      <c r="L82" s="7"/>
      <c r="M82" s="2"/>
      <c r="U82" s="161"/>
    </row>
    <row r="83" spans="2:21" ht="15" customHeight="1">
      <c r="B83" s="274" t="s">
        <v>26</v>
      </c>
      <c r="C83" s="275"/>
      <c r="D83" s="255"/>
      <c r="E83" s="14">
        <f>SUM(E80:E82)</f>
        <v>127</v>
      </c>
      <c r="F83" s="14">
        <f>SUM(F80:F82)</f>
        <v>28</v>
      </c>
      <c r="G83" s="14">
        <f>SUM(G80:G82)</f>
        <v>29</v>
      </c>
      <c r="H83" s="33">
        <f>SUM(F83:G83)</f>
        <v>57</v>
      </c>
      <c r="I83" s="50">
        <f>H83/E83</f>
        <v>0.44881889763779526</v>
      </c>
      <c r="J83" s="7"/>
      <c r="K83" s="7"/>
      <c r="L83" s="7"/>
      <c r="M83" s="2"/>
      <c r="U83" s="161"/>
    </row>
    <row r="84" spans="2:21" ht="15" customHeight="1" thickBot="1">
      <c r="B84" s="51"/>
      <c r="C84" s="51"/>
      <c r="D84" s="51"/>
      <c r="E84" s="51"/>
      <c r="F84" s="51"/>
      <c r="G84" s="51"/>
      <c r="H84" s="51"/>
      <c r="I84" s="51"/>
      <c r="J84" s="52"/>
      <c r="K84" s="52"/>
      <c r="L84" s="52"/>
      <c r="M84" s="2"/>
      <c r="U84" s="161"/>
    </row>
    <row r="85" spans="2:21" ht="15" customHeight="1">
      <c r="B85" s="280" t="s">
        <v>63</v>
      </c>
      <c r="C85" s="280"/>
      <c r="D85" s="280"/>
      <c r="E85" s="280"/>
      <c r="F85" s="280"/>
      <c r="G85" s="280"/>
      <c r="H85" s="280"/>
      <c r="I85" s="280"/>
      <c r="J85" s="280"/>
      <c r="K85" s="280"/>
      <c r="L85" s="7"/>
      <c r="M85" s="2"/>
      <c r="U85" s="161"/>
    </row>
    <row r="86" spans="2:21" ht="15" customHeight="1">
      <c r="B86" s="53"/>
      <c r="C86" s="53"/>
      <c r="D86" s="53"/>
      <c r="E86" s="53"/>
      <c r="F86" s="53"/>
      <c r="G86" s="53"/>
      <c r="H86" s="53"/>
      <c r="I86" s="53"/>
      <c r="J86" s="7"/>
      <c r="K86" s="7"/>
      <c r="L86" s="7"/>
      <c r="M86" s="2"/>
      <c r="U86" s="161"/>
    </row>
    <row r="87" spans="2:21" ht="15" customHeight="1" thickBot="1">
      <c r="B87" s="53"/>
      <c r="C87" s="248" t="s">
        <v>1</v>
      </c>
      <c r="D87" s="249"/>
      <c r="E87" s="54" t="s">
        <v>2</v>
      </c>
      <c r="F87" s="54" t="s">
        <v>3</v>
      </c>
      <c r="G87" s="54" t="s">
        <v>4</v>
      </c>
      <c r="H87" s="54" t="s">
        <v>5</v>
      </c>
      <c r="I87" s="54" t="s">
        <v>6</v>
      </c>
      <c r="J87" s="53"/>
      <c r="K87" s="53"/>
      <c r="L87" s="7"/>
      <c r="M87" s="2"/>
      <c r="U87" s="161"/>
    </row>
    <row r="88" spans="2:21" ht="15" customHeight="1" thickTop="1">
      <c r="B88" s="53"/>
      <c r="C88" s="276" t="str">
        <f>'[1]Equipes-Pool'!$B$19</f>
        <v>Sabres de Buffalo</v>
      </c>
      <c r="D88" s="277"/>
      <c r="E88" s="150">
        <f>('[1]Equipes-Pool'!$C$19)-41</f>
        <v>27</v>
      </c>
      <c r="F88" s="150">
        <f>('[1]Equipes-Pool'!$D$19)-43</f>
        <v>32</v>
      </c>
      <c r="G88" s="150">
        <f>('[1]Equipes-Pool'!$E$19)-112</f>
        <v>88</v>
      </c>
      <c r="H88" s="150">
        <f>('[1]Equipes-Pool'!$F$19)-119</f>
        <v>70</v>
      </c>
      <c r="I88" s="103">
        <f>F88+(G88-H88)</f>
        <v>50</v>
      </c>
      <c r="J88" s="53"/>
      <c r="K88" s="53"/>
      <c r="L88" s="7"/>
      <c r="M88" s="2"/>
      <c r="U88" s="161"/>
    </row>
    <row r="89" spans="2:21" ht="15" customHeight="1">
      <c r="B89" s="53"/>
      <c r="C89" s="282" t="str">
        <f>'[1]Equipes-Pool'!$B$15</f>
        <v>Senateurs d'ottawa</v>
      </c>
      <c r="D89" s="283"/>
      <c r="E89" s="239">
        <v>18</v>
      </c>
      <c r="F89" s="238">
        <v>17</v>
      </c>
      <c r="G89" s="238">
        <v>42</v>
      </c>
      <c r="H89" s="238">
        <v>44</v>
      </c>
      <c r="I89" s="201">
        <f>F89+(G89-H89)</f>
        <v>15</v>
      </c>
      <c r="J89" s="53"/>
      <c r="K89" s="53"/>
      <c r="L89" s="7"/>
      <c r="M89" s="2"/>
      <c r="U89" s="161"/>
    </row>
    <row r="90" spans="2:21" ht="15" customHeight="1" thickBot="1">
      <c r="B90" s="53"/>
      <c r="C90" s="263" t="str">
        <f>'[1]Equipes-Pool'!$B$22</f>
        <v>Canucks de Vancouver</v>
      </c>
      <c r="D90" s="264"/>
      <c r="E90" s="223">
        <v>22</v>
      </c>
      <c r="F90" s="223">
        <v>18</v>
      </c>
      <c r="G90" s="223">
        <v>58</v>
      </c>
      <c r="H90" s="223">
        <v>69</v>
      </c>
      <c r="I90" s="201">
        <f>F90+(G90-H90)</f>
        <v>7</v>
      </c>
      <c r="J90" s="53"/>
      <c r="K90" s="53"/>
      <c r="L90" s="7"/>
      <c r="M90" s="2"/>
      <c r="T90" s="128"/>
      <c r="U90" s="161"/>
    </row>
    <row r="91" spans="2:21" ht="15" customHeight="1">
      <c r="B91" s="53"/>
      <c r="C91" s="278" t="s">
        <v>7</v>
      </c>
      <c r="D91" s="279"/>
      <c r="E91" s="22">
        <f>SUM(E88:E90)</f>
        <v>67</v>
      </c>
      <c r="F91" s="22">
        <f>SUM(F88:F90)</f>
        <v>67</v>
      </c>
      <c r="G91" s="22">
        <f>SUM(G88:G90)</f>
        <v>188</v>
      </c>
      <c r="H91" s="22">
        <f>SUM(H88:H90)</f>
        <v>183</v>
      </c>
      <c r="I91" s="56">
        <f>F91+(G91-H91)</f>
        <v>72</v>
      </c>
      <c r="J91" s="53"/>
      <c r="K91" s="53"/>
      <c r="L91" s="7"/>
      <c r="M91" s="2"/>
      <c r="U91" s="161"/>
    </row>
    <row r="92" spans="10:21" ht="15" customHeight="1">
      <c r="J92" s="57"/>
      <c r="K92" s="57"/>
      <c r="M92" s="2"/>
      <c r="U92" s="161"/>
    </row>
    <row r="93" spans="2:21" ht="15" customHeight="1">
      <c r="B93" s="251" t="s">
        <v>13</v>
      </c>
      <c r="C93" s="252"/>
      <c r="D93" s="252"/>
      <c r="E93" s="252"/>
      <c r="F93" s="252"/>
      <c r="G93" s="252"/>
      <c r="H93" s="252"/>
      <c r="I93" s="252"/>
      <c r="J93" s="252"/>
      <c r="K93" s="253"/>
      <c r="M93" s="2"/>
      <c r="U93" s="161"/>
    </row>
    <row r="94" spans="2:21" ht="15" customHeight="1" thickBot="1">
      <c r="B94" s="54" t="s">
        <v>15</v>
      </c>
      <c r="C94" s="54" t="s">
        <v>16</v>
      </c>
      <c r="D94" s="54" t="s">
        <v>17</v>
      </c>
      <c r="E94" s="54" t="s">
        <v>2</v>
      </c>
      <c r="F94" s="54" t="s">
        <v>18</v>
      </c>
      <c r="G94" s="54" t="s">
        <v>19</v>
      </c>
      <c r="H94" s="54" t="s">
        <v>20</v>
      </c>
      <c r="I94" s="54" t="s">
        <v>21</v>
      </c>
      <c r="J94" s="54" t="s">
        <v>22</v>
      </c>
      <c r="K94" s="54" t="s">
        <v>6</v>
      </c>
      <c r="M94" s="2"/>
      <c r="U94" s="161"/>
    </row>
    <row r="95" spans="1:21" ht="15" customHeight="1" thickTop="1">
      <c r="A95" s="142"/>
      <c r="B95" s="185">
        <f>'[1]Pool-gardien'!$B$20</f>
        <v>36.12602739726027</v>
      </c>
      <c r="C95" s="185" t="str">
        <f>'[1]Pool-gardien'!$C$20</f>
        <v>Stl</v>
      </c>
      <c r="D95" s="186" t="str">
        <f>'[1]Pool-gardien'!$D$20</f>
        <v>Manny Legace</v>
      </c>
      <c r="E95" s="185">
        <v>4</v>
      </c>
      <c r="F95" s="185">
        <v>3</v>
      </c>
      <c r="G95" s="185">
        <v>0</v>
      </c>
      <c r="H95" s="185">
        <v>0</v>
      </c>
      <c r="I95" s="185">
        <v>0</v>
      </c>
      <c r="J95" s="185">
        <v>0</v>
      </c>
      <c r="K95" s="201">
        <f aca="true" t="shared" si="13" ref="K95:K102">(F95*2)+G95+(H95*4)+(I95*10)+J95</f>
        <v>6</v>
      </c>
      <c r="M95" s="2"/>
      <c r="U95" s="161"/>
    </row>
    <row r="96" spans="1:21" ht="15" customHeight="1">
      <c r="A96" s="142"/>
      <c r="B96" s="106">
        <f>'[1]Pool-gardien'!$B$12</f>
        <v>26.364383561643837</v>
      </c>
      <c r="C96" s="106" t="str">
        <f>'[1]Pool-gardien'!$C$12</f>
        <v>Ott</v>
      </c>
      <c r="D96" s="126" t="str">
        <f>'[1]Pool-gardien'!$D$12</f>
        <v>Pascal Leclaire</v>
      </c>
      <c r="E96" s="107">
        <f>('[1]Pool-gardien'!$E$12)-6</f>
        <v>6</v>
      </c>
      <c r="F96" s="107">
        <f>('[1]Pool-gardien'!$F$12)-2</f>
        <v>2</v>
      </c>
      <c r="G96" s="107">
        <f>('[1]Pool-gardien'!$G$12)</f>
        <v>1</v>
      </c>
      <c r="H96" s="107">
        <f>('[1]Pool-gardien'!$H$12)</f>
        <v>0</v>
      </c>
      <c r="I96" s="107">
        <f>('[1]Pool-gardien'!$I$12)</f>
        <v>0</v>
      </c>
      <c r="J96" s="107">
        <f>('[1]Pool-gardien'!$J$12)</f>
        <v>1</v>
      </c>
      <c r="K96" s="14">
        <f t="shared" si="13"/>
        <v>6</v>
      </c>
      <c r="L96" s="1" t="s">
        <v>234</v>
      </c>
      <c r="M96" s="2"/>
      <c r="U96" s="161"/>
    </row>
    <row r="97" spans="1:21" ht="15" customHeight="1">
      <c r="A97" s="142"/>
      <c r="B97" s="189">
        <f>'[1]Pool-gardien'!$B$32</f>
        <v>38.961643835616435</v>
      </c>
      <c r="C97" s="189" t="str">
        <f>'[1]Pool-gardien'!$C$32</f>
        <v>T.B.</v>
      </c>
      <c r="D97" s="190" t="str">
        <f>'[1]Pool-gardien'!$D$32</f>
        <v>Olaf Kolzig</v>
      </c>
      <c r="E97" s="189">
        <v>4</v>
      </c>
      <c r="F97" s="189">
        <v>1</v>
      </c>
      <c r="G97" s="189">
        <v>1</v>
      </c>
      <c r="H97" s="189">
        <v>0</v>
      </c>
      <c r="I97" s="189">
        <v>0</v>
      </c>
      <c r="J97" s="189">
        <v>0</v>
      </c>
      <c r="K97" s="201">
        <f t="shared" si="13"/>
        <v>3</v>
      </c>
      <c r="M97" s="2"/>
      <c r="U97" s="161"/>
    </row>
    <row r="98" spans="1:21" ht="15" customHeight="1">
      <c r="A98" s="142"/>
      <c r="B98" s="189">
        <f>'[1]Pool-gardien'!$B$76</f>
        <v>26.627397260273973</v>
      </c>
      <c r="C98" s="189" t="str">
        <f>'[1]Pool-gardien'!$C$76</f>
        <v>L.A.</v>
      </c>
      <c r="D98" s="190" t="str">
        <f>'[1]Pool-gardien'!$D$76</f>
        <v>Erik Ersberg</v>
      </c>
      <c r="E98" s="189">
        <v>9</v>
      </c>
      <c r="F98" s="189">
        <v>3</v>
      </c>
      <c r="G98" s="189">
        <v>1</v>
      </c>
      <c r="H98" s="189">
        <v>0</v>
      </c>
      <c r="I98" s="189">
        <v>0</v>
      </c>
      <c r="J98" s="189">
        <v>0</v>
      </c>
      <c r="K98" s="201">
        <f>(F98*2)+G98+(H98*4)+(I98*10)+J98</f>
        <v>7</v>
      </c>
      <c r="M98" s="2"/>
      <c r="U98" s="161"/>
    </row>
    <row r="99" spans="1:21" ht="15" customHeight="1">
      <c r="A99" s="142"/>
      <c r="B99" s="108">
        <f>'[1]Pool-gardien'!$B$38</f>
        <v>26.994520547945207</v>
      </c>
      <c r="C99" s="108" t="str">
        <f>'[1]Pool-gardien'!$C$38</f>
        <v>T.B.</v>
      </c>
      <c r="D99" s="110" t="str">
        <f>'[1]Pool-gardien'!$D$38</f>
        <v>Mike Smith</v>
      </c>
      <c r="E99" s="108">
        <f>('[1]Pool-gardien'!$E$38)-31</f>
        <v>10</v>
      </c>
      <c r="F99" s="108">
        <f>('[1]Pool-gardien'!$F$38)-14</f>
        <v>0</v>
      </c>
      <c r="G99" s="108">
        <f>('[1]Pool-gardien'!$G$38)-9</f>
        <v>0</v>
      </c>
      <c r="H99" s="108">
        <f>('[1]Pool-gardien'!$H$38)-2</f>
        <v>0</v>
      </c>
      <c r="I99" s="108">
        <f>('[1]Pool-gardien'!$I$38)-0</f>
        <v>0</v>
      </c>
      <c r="J99" s="108">
        <f>('[1]Pool-gardien'!$J$38)-1</f>
        <v>0</v>
      </c>
      <c r="K99" s="14">
        <f t="shared" si="13"/>
        <v>0</v>
      </c>
      <c r="L99" s="1" t="s">
        <v>234</v>
      </c>
      <c r="M99" s="2"/>
      <c r="U99" s="161"/>
    </row>
    <row r="100" spans="2:21" ht="15" customHeight="1">
      <c r="B100" s="108">
        <f>'[1]Pool-gardien'!$B$56</f>
        <v>23.84931506849315</v>
      </c>
      <c r="C100" s="108" t="str">
        <f>'[1]Pool-gardien'!$C$56</f>
        <v>Mtl</v>
      </c>
      <c r="D100" s="110" t="str">
        <f>'[1]Pool-gardien'!$D$56</f>
        <v>Jaroslav Halak</v>
      </c>
      <c r="E100" s="108">
        <f>('[1]Pool-gardien'!$E$56)-25</f>
        <v>3</v>
      </c>
      <c r="F100" s="108">
        <f>('[1]Pool-gardien'!$F$56)-13</f>
        <v>3</v>
      </c>
      <c r="G100" s="108">
        <f>('[1]Pool-gardien'!$G$56)-1</f>
        <v>0</v>
      </c>
      <c r="H100" s="108">
        <f>('[1]Pool-gardien'!$H$56)-0</f>
        <v>1</v>
      </c>
      <c r="I100" s="108">
        <f>('[1]Pool-gardien'!$I$56)-0</f>
        <v>0</v>
      </c>
      <c r="J100" s="108">
        <f>('[1]Pool-gardien'!$J$56)-0</f>
        <v>0</v>
      </c>
      <c r="K100" s="14">
        <f t="shared" si="13"/>
        <v>10</v>
      </c>
      <c r="M100" s="2"/>
      <c r="U100" s="161"/>
    </row>
    <row r="101" spans="1:21" ht="15" customHeight="1" thickBot="1">
      <c r="A101" s="142"/>
      <c r="B101" s="106"/>
      <c r="C101" s="106"/>
      <c r="D101" s="126"/>
      <c r="E101" s="166"/>
      <c r="F101" s="166"/>
      <c r="G101" s="166"/>
      <c r="H101" s="166"/>
      <c r="I101" s="166"/>
      <c r="J101" s="166"/>
      <c r="K101" s="36">
        <f t="shared" si="13"/>
        <v>0</v>
      </c>
      <c r="M101" s="2"/>
      <c r="U101" s="161"/>
    </row>
    <row r="102" spans="2:21" ht="15" customHeight="1">
      <c r="B102" s="278" t="s">
        <v>7</v>
      </c>
      <c r="C102" s="281"/>
      <c r="D102" s="279"/>
      <c r="E102" s="22">
        <f aca="true" t="shared" si="14" ref="E102:J102">SUM(E95:E101)</f>
        <v>36</v>
      </c>
      <c r="F102" s="22">
        <f t="shared" si="14"/>
        <v>12</v>
      </c>
      <c r="G102" s="22">
        <f t="shared" si="14"/>
        <v>3</v>
      </c>
      <c r="H102" s="22">
        <f t="shared" si="14"/>
        <v>1</v>
      </c>
      <c r="I102" s="22">
        <f t="shared" si="14"/>
        <v>0</v>
      </c>
      <c r="J102" s="22">
        <f t="shared" si="14"/>
        <v>1</v>
      </c>
      <c r="K102" s="14">
        <f t="shared" si="13"/>
        <v>32</v>
      </c>
      <c r="M102" s="2"/>
      <c r="U102" s="161"/>
    </row>
    <row r="103" spans="13:21" ht="15" customHeight="1">
      <c r="M103" s="2"/>
      <c r="U103" s="161"/>
    </row>
    <row r="104" spans="2:21" ht="15" customHeight="1">
      <c r="B104" s="251" t="s">
        <v>23</v>
      </c>
      <c r="C104" s="252"/>
      <c r="D104" s="252"/>
      <c r="E104" s="252"/>
      <c r="F104" s="252"/>
      <c r="G104" s="252"/>
      <c r="H104" s="252"/>
      <c r="I104" s="253"/>
      <c r="M104" s="2"/>
      <c r="U104" s="161"/>
    </row>
    <row r="105" spans="2:21" ht="15" customHeight="1" thickBot="1">
      <c r="B105" s="54" t="s">
        <v>15</v>
      </c>
      <c r="C105" s="54" t="s">
        <v>29</v>
      </c>
      <c r="D105" s="54" t="s">
        <v>17</v>
      </c>
      <c r="E105" s="54" t="s">
        <v>2</v>
      </c>
      <c r="F105" s="54" t="s">
        <v>21</v>
      </c>
      <c r="G105" s="54" t="s">
        <v>30</v>
      </c>
      <c r="H105" s="54" t="s">
        <v>6</v>
      </c>
      <c r="I105" s="54" t="s">
        <v>11</v>
      </c>
      <c r="M105" s="2"/>
      <c r="U105" s="161"/>
    </row>
    <row r="106" spans="2:21" ht="15" customHeight="1" thickTop="1">
      <c r="B106" s="180">
        <f>'[1]POOL-joueus'!$B$126</f>
        <v>21.76164383561644</v>
      </c>
      <c r="C106" s="180" t="str">
        <f>'[1]POOL-joueus'!$C$126</f>
        <v>Edm</v>
      </c>
      <c r="D106" s="181" t="str">
        <f>'[1]POOL-joueus'!$D$126</f>
        <v>Andrew Cogliano</v>
      </c>
      <c r="E106" s="180">
        <v>58</v>
      </c>
      <c r="F106" s="180">
        <v>13</v>
      </c>
      <c r="G106" s="180">
        <v>14</v>
      </c>
      <c r="H106" s="139">
        <f aca="true" t="shared" si="15" ref="H106:H120">SUM(F106:G106)</f>
        <v>27</v>
      </c>
      <c r="I106" s="182">
        <f aca="true" t="shared" si="16" ref="I106:I120">H106/E106</f>
        <v>0.46551724137931033</v>
      </c>
      <c r="M106" s="2"/>
      <c r="U106" s="161"/>
    </row>
    <row r="107" spans="2:21" ht="15" customHeight="1">
      <c r="B107" s="185">
        <f>'[1]POOL-joueus'!$B$246</f>
        <v>24.84109589041096</v>
      </c>
      <c r="C107" s="185" t="str">
        <f>'[1]POOL-joueus'!$C$246</f>
        <v>Wsh</v>
      </c>
      <c r="D107" s="186" t="str">
        <f>'[1]POOL-joueus'!$D$246</f>
        <v>Tomas Fleischman</v>
      </c>
      <c r="E107" s="185">
        <v>23</v>
      </c>
      <c r="F107" s="185">
        <v>9</v>
      </c>
      <c r="G107" s="185">
        <v>7</v>
      </c>
      <c r="H107" s="139">
        <f t="shared" si="15"/>
        <v>16</v>
      </c>
      <c r="I107" s="182">
        <f t="shared" si="16"/>
        <v>0.6956521739130435</v>
      </c>
      <c r="M107" s="2"/>
      <c r="U107" s="161"/>
    </row>
    <row r="108" spans="2:21" ht="15" customHeight="1">
      <c r="B108" s="183">
        <f>'[1]POOL-joueus'!$B$166</f>
        <v>26.12054794520548</v>
      </c>
      <c r="C108" s="183" t="str">
        <f>'[1]POOL-joueus'!$C$166</f>
        <v>Tor</v>
      </c>
      <c r="D108" s="184" t="str">
        <f>'[1]POOL-joueus'!$D$166</f>
        <v>Lee Stempniak</v>
      </c>
      <c r="E108" s="183">
        <v>10</v>
      </c>
      <c r="F108" s="183">
        <v>2</v>
      </c>
      <c r="G108" s="183">
        <v>6</v>
      </c>
      <c r="H108" s="139">
        <f t="shared" si="15"/>
        <v>8</v>
      </c>
      <c r="I108" s="182">
        <f t="shared" si="16"/>
        <v>0.8</v>
      </c>
      <c r="M108" s="2"/>
      <c r="U108" s="161"/>
    </row>
    <row r="109" spans="2:21" ht="15" customHeight="1">
      <c r="B109" s="183">
        <f>'[1]POOL-joueus'!$B$146</f>
        <v>24.186301369863013</v>
      </c>
      <c r="C109" s="183" t="str">
        <f>'[1]POOL-joueus'!$C$146</f>
        <v>Edm</v>
      </c>
      <c r="D109" s="184" t="str">
        <f>'[1]POOL-joueus'!$D$146</f>
        <v>Robert Nilsson</v>
      </c>
      <c r="E109" s="183">
        <v>23</v>
      </c>
      <c r="F109" s="183">
        <v>3</v>
      </c>
      <c r="G109" s="183">
        <v>5</v>
      </c>
      <c r="H109" s="139">
        <f t="shared" si="15"/>
        <v>8</v>
      </c>
      <c r="I109" s="182">
        <f t="shared" si="16"/>
        <v>0.34782608695652173</v>
      </c>
      <c r="M109" s="2"/>
      <c r="U109" s="161"/>
    </row>
    <row r="110" spans="2:21" ht="12.75">
      <c r="B110" s="109">
        <f>'[1]POOL-joueus'!$B$793</f>
        <v>27.715068493150685</v>
      </c>
      <c r="C110" s="109" t="str">
        <f>'[1]POOL-joueus'!$C$793</f>
        <v>Nyr</v>
      </c>
      <c r="D110" s="111" t="str">
        <f>'[1]POOL-joueus'!$D$793</f>
        <v>Aaron Voros</v>
      </c>
      <c r="E110" s="109">
        <f>('[1]POOL-joueus'!$E$793)-6</f>
        <v>47</v>
      </c>
      <c r="F110" s="109">
        <f>('[1]POOL-joueus'!$F$793)-3</f>
        <v>5</v>
      </c>
      <c r="G110" s="109">
        <f>('[1]POOL-joueus'!$G$793)-4</f>
        <v>3</v>
      </c>
      <c r="H110" s="22">
        <f t="shared" si="15"/>
        <v>8</v>
      </c>
      <c r="I110" s="23">
        <f t="shared" si="16"/>
        <v>0.1702127659574468</v>
      </c>
      <c r="M110" s="2"/>
      <c r="U110" s="161"/>
    </row>
    <row r="111" spans="2:21" ht="12.75">
      <c r="B111" s="183">
        <f>'[1]POOL-joueus'!$B$243</f>
        <v>23.265753424657536</v>
      </c>
      <c r="C111" s="183" t="str">
        <f>'[1]POOL-joueus'!$C$243</f>
        <v>Chi</v>
      </c>
      <c r="D111" s="184" t="str">
        <f>'[1]POOL-joueus'!$D$243</f>
        <v>Andrew Ladd</v>
      </c>
      <c r="E111" s="183">
        <v>12</v>
      </c>
      <c r="F111" s="183">
        <v>3</v>
      </c>
      <c r="G111" s="183">
        <v>2</v>
      </c>
      <c r="H111" s="139">
        <f t="shared" si="15"/>
        <v>5</v>
      </c>
      <c r="I111" s="182">
        <f t="shared" si="16"/>
        <v>0.4166666666666667</v>
      </c>
      <c r="M111" s="2"/>
      <c r="U111" s="161"/>
    </row>
    <row r="112" spans="2:21" ht="12.75">
      <c r="B112" s="106">
        <f>'[1]POOL-joueus'!$B$147</f>
        <v>34.413698630136984</v>
      </c>
      <c r="C112" s="106" t="str">
        <f>'[1]POOL-joueus'!$C$147</f>
        <v>Pit</v>
      </c>
      <c r="D112" s="126" t="str">
        <f>'[1]POOL-joueus'!$D$147</f>
        <v>Mirolav Satan</v>
      </c>
      <c r="E112" s="106">
        <f>('[1]POOL-joueus'!$E$147)-61</f>
        <v>4</v>
      </c>
      <c r="F112" s="106">
        <f>('[1]POOL-joueus'!$F$147)-15</f>
        <v>2</v>
      </c>
      <c r="G112" s="106">
        <f>('[1]POOL-joueus'!$G$147)-18</f>
        <v>1</v>
      </c>
      <c r="H112" s="22">
        <f>SUM(F112:G112)</f>
        <v>3</v>
      </c>
      <c r="I112" s="23">
        <f>H112/E112</f>
        <v>0.75</v>
      </c>
      <c r="M112" s="2"/>
      <c r="U112" s="161"/>
    </row>
    <row r="113" spans="2:21" ht="12.75">
      <c r="B113" s="109">
        <f>'[1]POOL-joueus'!$B$92</f>
        <v>20.926027397260274</v>
      </c>
      <c r="C113" s="109" t="str">
        <f>'[1]POOL-joueus'!$C$92</f>
        <v>Phx</v>
      </c>
      <c r="D113" s="111" t="str">
        <f>'[1]POOL-joueus'!$D$92</f>
        <v>Peter Mueller</v>
      </c>
      <c r="E113" s="109">
        <f>(('[1]POOL-joueus'!$E$92)-13)-35</f>
        <v>11</v>
      </c>
      <c r="F113" s="109">
        <f>(('[1]POOL-joueus'!$F$92)-5)-7</f>
        <v>0</v>
      </c>
      <c r="G113" s="109">
        <f>(('[1]POOL-joueus'!$G$92)-5)-13</f>
        <v>3</v>
      </c>
      <c r="H113" s="22">
        <f>SUM(F113:G113)</f>
        <v>3</v>
      </c>
      <c r="I113" s="23">
        <f>H113/E113</f>
        <v>0.2727272727272727</v>
      </c>
      <c r="J113" s="1" t="s">
        <v>234</v>
      </c>
      <c r="M113" s="2"/>
      <c r="U113" s="161"/>
    </row>
    <row r="114" spans="2:21" ht="12.75">
      <c r="B114" s="107">
        <f>'[1]POOL-joueus'!$B$244</f>
        <v>32.12876712328767</v>
      </c>
      <c r="C114" s="107" t="str">
        <f>'[1]POOL-joueus'!$C$244</f>
        <v>Dal</v>
      </c>
      <c r="D114" s="124" t="str">
        <f>'[1]POOL-joueus'!$D$244</f>
        <v>Mark Parrish</v>
      </c>
      <c r="E114" s="107">
        <f>('[1]POOL-joueus'!$E$244)-3</f>
        <v>38</v>
      </c>
      <c r="F114" s="107">
        <f>('[1]POOL-joueus'!$F$244)-3</f>
        <v>4</v>
      </c>
      <c r="G114" s="107">
        <f>('[1]POOL-joueus'!$G$244)-0</f>
        <v>5</v>
      </c>
      <c r="H114" s="22">
        <f t="shared" si="15"/>
        <v>9</v>
      </c>
      <c r="I114" s="23">
        <f t="shared" si="16"/>
        <v>0.23684210526315788</v>
      </c>
      <c r="M114" s="2"/>
      <c r="U114" s="161"/>
    </row>
    <row r="115" spans="1:21" ht="12.75">
      <c r="A115" s="142"/>
      <c r="B115" s="189">
        <f>'[1]POOL-joueus'!$B$257</f>
        <v>20.805479452054794</v>
      </c>
      <c r="C115" s="189" t="str">
        <f>'[1]POOL-joueus'!$C$257</f>
        <v>Stl</v>
      </c>
      <c r="D115" s="190" t="str">
        <f>'[1]POOL-joueus'!$D$257</f>
        <v>David Perron</v>
      </c>
      <c r="E115" s="189">
        <v>2</v>
      </c>
      <c r="F115" s="189">
        <v>2</v>
      </c>
      <c r="G115" s="189">
        <v>1</v>
      </c>
      <c r="H115" s="139">
        <f>SUM(F115:G115)</f>
        <v>3</v>
      </c>
      <c r="I115" s="182">
        <f>H115/E115</f>
        <v>1.5</v>
      </c>
      <c r="M115" s="2"/>
      <c r="U115" s="161"/>
    </row>
    <row r="116" spans="2:21" ht="12.75">
      <c r="B116" s="183">
        <f>'[1]POOL-joueus'!$B$106</f>
        <v>29.301369863013697</v>
      </c>
      <c r="C116" s="183" t="str">
        <f>'[1]POOL-joueus'!$C$106</f>
        <v>T.B.</v>
      </c>
      <c r="D116" s="184" t="str">
        <f>'[1]POOL-joueus'!$D$106</f>
        <v>Ryan Malone</v>
      </c>
      <c r="E116" s="183">
        <v>5</v>
      </c>
      <c r="F116" s="183">
        <v>0</v>
      </c>
      <c r="G116" s="183">
        <v>5</v>
      </c>
      <c r="H116" s="139">
        <f t="shared" si="15"/>
        <v>5</v>
      </c>
      <c r="I116" s="182">
        <f t="shared" si="16"/>
        <v>1</v>
      </c>
      <c r="M116" s="2"/>
      <c r="U116" s="161"/>
    </row>
    <row r="117" spans="2:21" ht="12.75">
      <c r="B117" s="183">
        <f>'[1]POOL-joueus'!$B$140</f>
        <v>25.04931506849315</v>
      </c>
      <c r="C117" s="183" t="str">
        <f>'[1]POOL-joueus'!$C$140</f>
        <v>Stl</v>
      </c>
      <c r="D117" s="184" t="str">
        <f>'[1]POOL-joueus'!$D$140</f>
        <v>Alexander Steen</v>
      </c>
      <c r="E117" s="183">
        <v>4</v>
      </c>
      <c r="F117" s="183">
        <v>0</v>
      </c>
      <c r="G117" s="183">
        <v>1</v>
      </c>
      <c r="H117" s="139">
        <f t="shared" si="15"/>
        <v>1</v>
      </c>
      <c r="I117" s="182">
        <f t="shared" si="16"/>
        <v>0.25</v>
      </c>
      <c r="M117" s="2"/>
      <c r="U117" s="161"/>
    </row>
    <row r="118" spans="2:21" ht="12.75">
      <c r="B118" s="185">
        <f>'[1]POOL-joueus'!$B$206</f>
        <v>34.01917808219178</v>
      </c>
      <c r="C118" s="185" t="str">
        <f>'[1]POOL-joueus'!$C$206</f>
        <v>Col</v>
      </c>
      <c r="D118" s="186" t="str">
        <f>'[1]POOL-joueus'!$D$206</f>
        <v>Darcy Tucker</v>
      </c>
      <c r="E118" s="185">
        <v>1</v>
      </c>
      <c r="F118" s="185">
        <v>0</v>
      </c>
      <c r="G118" s="185">
        <v>0</v>
      </c>
      <c r="H118" s="140">
        <f t="shared" si="15"/>
        <v>0</v>
      </c>
      <c r="I118" s="199">
        <f t="shared" si="16"/>
        <v>0</v>
      </c>
      <c r="M118" s="2"/>
      <c r="U118" s="161"/>
    </row>
    <row r="119" spans="2:21" ht="13.5" thickBot="1">
      <c r="B119" s="108"/>
      <c r="C119" s="108"/>
      <c r="D119" s="110"/>
      <c r="E119" s="113"/>
      <c r="F119" s="113"/>
      <c r="G119" s="113"/>
      <c r="H119" s="114">
        <f t="shared" si="15"/>
        <v>0</v>
      </c>
      <c r="I119" s="115" t="e">
        <f t="shared" si="16"/>
        <v>#DIV/0!</v>
      </c>
      <c r="M119" s="2"/>
      <c r="U119" s="161"/>
    </row>
    <row r="120" spans="2:21" ht="12.75">
      <c r="B120" s="278" t="s">
        <v>7</v>
      </c>
      <c r="C120" s="281"/>
      <c r="D120" s="279"/>
      <c r="E120" s="22">
        <f>SUM(E106:E119)</f>
        <v>238</v>
      </c>
      <c r="F120" s="22">
        <f>SUM(F106:F119)</f>
        <v>43</v>
      </c>
      <c r="G120" s="22">
        <f>SUM(G106:G119)</f>
        <v>53</v>
      </c>
      <c r="H120" s="22">
        <f t="shared" si="15"/>
        <v>96</v>
      </c>
      <c r="I120" s="23">
        <f t="shared" si="16"/>
        <v>0.40336134453781514</v>
      </c>
      <c r="M120" s="2"/>
      <c r="U120" s="161"/>
    </row>
    <row r="121" spans="13:21" ht="12.75">
      <c r="M121" s="2"/>
      <c r="U121" s="161"/>
    </row>
    <row r="122" spans="2:21" ht="13.5">
      <c r="B122" s="251" t="s">
        <v>24</v>
      </c>
      <c r="C122" s="252"/>
      <c r="D122" s="252"/>
      <c r="E122" s="252"/>
      <c r="F122" s="252"/>
      <c r="G122" s="252"/>
      <c r="H122" s="252"/>
      <c r="I122" s="253"/>
      <c r="M122" s="2"/>
      <c r="U122" s="161"/>
    </row>
    <row r="123" spans="2:21" ht="13.5" thickBot="1">
      <c r="B123" s="54" t="s">
        <v>15</v>
      </c>
      <c r="C123" s="54" t="s">
        <v>29</v>
      </c>
      <c r="D123" s="54" t="s">
        <v>17</v>
      </c>
      <c r="E123" s="54" t="s">
        <v>2</v>
      </c>
      <c r="F123" s="54" t="s">
        <v>21</v>
      </c>
      <c r="G123" s="54" t="s">
        <v>30</v>
      </c>
      <c r="H123" s="54" t="s">
        <v>6</v>
      </c>
      <c r="I123" s="54" t="s">
        <v>11</v>
      </c>
      <c r="M123" s="2"/>
      <c r="U123" s="161"/>
    </row>
    <row r="124" spans="2:21" ht="13.5" thickTop="1">
      <c r="B124" s="109">
        <f>'[1]POOL-joueus'!$B$109</f>
        <v>26.87945205479452</v>
      </c>
      <c r="C124" s="109" t="str">
        <f>'[1]POOL-joueus'!$C$109</f>
        <v>Cbj</v>
      </c>
      <c r="D124" s="111" t="str">
        <f>'[1]POOL-joueus'!$D$109</f>
        <v>R.J. Umberger</v>
      </c>
      <c r="E124" s="121">
        <f>('[1]POOL-joueus'!$E$109)-3</f>
        <v>65</v>
      </c>
      <c r="F124" s="121">
        <f>('[1]POOL-joueus'!$F$109)-0</f>
        <v>23</v>
      </c>
      <c r="G124" s="121">
        <f>('[1]POOL-joueus'!$G$109)-1</f>
        <v>14</v>
      </c>
      <c r="H124" s="22">
        <f aca="true" t="shared" si="17" ref="H124:H131">SUM(F124:G124)</f>
        <v>37</v>
      </c>
      <c r="I124" s="23">
        <f aca="true" t="shared" si="18" ref="I124:I131">H124/E124</f>
        <v>0.5692307692307692</v>
      </c>
      <c r="M124" s="2"/>
      <c r="U124" s="161"/>
    </row>
    <row r="125" spans="2:21" ht="12.75">
      <c r="B125" s="183">
        <f>'[1]POOL-joueus'!$B$216</f>
        <v>25.24931506849315</v>
      </c>
      <c r="C125" s="183" t="str">
        <f>'[1]POOL-joueus'!$C$216</f>
        <v>Tor</v>
      </c>
      <c r="D125" s="184" t="str">
        <f>'[1]POOL-joueus'!$D$216</f>
        <v>Matt Stajan</v>
      </c>
      <c r="E125" s="183">
        <v>12</v>
      </c>
      <c r="F125" s="183">
        <v>3</v>
      </c>
      <c r="G125" s="183">
        <v>7</v>
      </c>
      <c r="H125" s="139">
        <f t="shared" si="17"/>
        <v>10</v>
      </c>
      <c r="I125" s="182">
        <f t="shared" si="18"/>
        <v>0.8333333333333334</v>
      </c>
      <c r="M125" s="2"/>
      <c r="U125" s="161"/>
    </row>
    <row r="126" spans="2:21" ht="12.75">
      <c r="B126" s="185">
        <f>'[1]POOL-joueus'!$B$237</f>
        <v>24.816438356164383</v>
      </c>
      <c r="C126" s="185" t="str">
        <f>'[1]POOL-joueus'!$C$237</f>
        <v>Edm</v>
      </c>
      <c r="D126" s="186" t="str">
        <f>'[1]POOL-joueus'!$D$237</f>
        <v>Kyle Brodziak</v>
      </c>
      <c r="E126" s="185">
        <v>4</v>
      </c>
      <c r="F126" s="185">
        <v>0</v>
      </c>
      <c r="G126" s="185">
        <v>0</v>
      </c>
      <c r="H126" s="139">
        <f t="shared" si="17"/>
        <v>0</v>
      </c>
      <c r="I126" s="182">
        <f t="shared" si="18"/>
        <v>0</v>
      </c>
      <c r="M126" s="2"/>
      <c r="U126" s="161"/>
    </row>
    <row r="127" spans="2:21" ht="12.75">
      <c r="B127" s="107">
        <f>'[1]POOL-joueus'!$B$315</f>
        <v>32.02739726027397</v>
      </c>
      <c r="C127" s="107" t="str">
        <f>'[1]POOL-joueus'!$C$315</f>
        <v>L.A.</v>
      </c>
      <c r="D127" s="124" t="str">
        <f>'[1]POOL-joueus'!$D$315</f>
        <v>Michal Handzus</v>
      </c>
      <c r="E127" s="107">
        <f>('[1]POOL-joueus'!$E$315)-4</f>
        <v>62</v>
      </c>
      <c r="F127" s="107">
        <f>('[1]POOL-joueus'!$F$315)-2</f>
        <v>12</v>
      </c>
      <c r="G127" s="107">
        <f>('[1]POOL-joueus'!$G$315)-2</f>
        <v>17</v>
      </c>
      <c r="H127" s="22">
        <f>SUM(F127:G127)</f>
        <v>29</v>
      </c>
      <c r="I127" s="23">
        <f>H127/E127</f>
        <v>0.46774193548387094</v>
      </c>
      <c r="M127" s="2"/>
      <c r="U127" s="161"/>
    </row>
    <row r="128" spans="2:21" ht="12.75">
      <c r="B128" s="107">
        <f>'[1]POOL-joueus'!$B$103</f>
        <v>38.61917808219178</v>
      </c>
      <c r="C128" s="107" t="str">
        <f>'[1]POOL-joueus'!$C$103</f>
        <v>Car</v>
      </c>
      <c r="D128" s="124" t="str">
        <f>'[1]POOL-joueus'!$D$103</f>
        <v>Rob Brind'Amour</v>
      </c>
      <c r="E128" s="107">
        <f>(('[1]POOL-joueus'!$E$103)-3)-42</f>
        <v>23</v>
      </c>
      <c r="F128" s="107">
        <f>(('[1]POOL-joueus'!$F$103)-2)-6</f>
        <v>4</v>
      </c>
      <c r="G128" s="107">
        <f>(('[1]POOL-joueus'!$G$103)-1)-18</f>
        <v>7</v>
      </c>
      <c r="H128" s="22">
        <f>SUM(F128:G128)</f>
        <v>11</v>
      </c>
      <c r="I128" s="23">
        <f>H128/E128</f>
        <v>0.4782608695652174</v>
      </c>
      <c r="M128" s="2"/>
      <c r="U128" s="161"/>
    </row>
    <row r="129" spans="2:21" ht="12.75">
      <c r="B129" s="183">
        <f>'[1]POOL-joueus'!$B$76</f>
        <v>38.79178082191781</v>
      </c>
      <c r="C129" s="183" t="str">
        <f>'[1]POOL-joueus'!$C$76</f>
        <v>Dal</v>
      </c>
      <c r="D129" s="184" t="str">
        <f>'[1]POOL-joueus'!$D$76</f>
        <v>Mike Modano</v>
      </c>
      <c r="E129" s="183">
        <v>9</v>
      </c>
      <c r="F129" s="183">
        <v>2</v>
      </c>
      <c r="G129" s="183">
        <v>3</v>
      </c>
      <c r="H129" s="139">
        <f t="shared" si="17"/>
        <v>5</v>
      </c>
      <c r="I129" s="182">
        <f t="shared" si="18"/>
        <v>0.5555555555555556</v>
      </c>
      <c r="M129" s="2"/>
      <c r="U129" s="161"/>
    </row>
    <row r="130" spans="2:21" ht="13.5" thickBot="1">
      <c r="B130" s="28"/>
      <c r="C130" s="47"/>
      <c r="D130" s="47"/>
      <c r="E130" s="114"/>
      <c r="F130" s="114"/>
      <c r="G130" s="114"/>
      <c r="H130" s="40">
        <f t="shared" si="17"/>
        <v>0</v>
      </c>
      <c r="I130" s="41" t="e">
        <f t="shared" si="18"/>
        <v>#DIV/0!</v>
      </c>
      <c r="M130" s="2"/>
      <c r="U130" s="161"/>
    </row>
    <row r="131" spans="2:21" ht="12.75">
      <c r="B131" s="278" t="s">
        <v>7</v>
      </c>
      <c r="C131" s="281"/>
      <c r="D131" s="279"/>
      <c r="E131" s="22">
        <f>SUM(E124:E130)</f>
        <v>175</v>
      </c>
      <c r="F131" s="22">
        <f>SUM(F124:F130)</f>
        <v>44</v>
      </c>
      <c r="G131" s="22">
        <f>SUM(G124:G130)</f>
        <v>48</v>
      </c>
      <c r="H131" s="22">
        <f t="shared" si="17"/>
        <v>92</v>
      </c>
      <c r="I131" s="23">
        <f t="shared" si="18"/>
        <v>0.5257142857142857</v>
      </c>
      <c r="M131" s="2"/>
      <c r="U131" s="161"/>
    </row>
    <row r="132" spans="13:21" ht="12.75">
      <c r="M132" s="2"/>
      <c r="U132" s="161"/>
    </row>
    <row r="133" spans="2:21" ht="13.5">
      <c r="B133" s="251" t="s">
        <v>25</v>
      </c>
      <c r="C133" s="252"/>
      <c r="D133" s="252"/>
      <c r="E133" s="252"/>
      <c r="F133" s="252"/>
      <c r="G133" s="252"/>
      <c r="H133" s="252"/>
      <c r="I133" s="253"/>
      <c r="M133" s="2"/>
      <c r="U133" s="161"/>
    </row>
    <row r="134" spans="2:21" ht="13.5" thickBot="1">
      <c r="B134" s="54" t="s">
        <v>15</v>
      </c>
      <c r="C134" s="54" t="s">
        <v>29</v>
      </c>
      <c r="D134" s="54" t="s">
        <v>17</v>
      </c>
      <c r="E134" s="54" t="s">
        <v>2</v>
      </c>
      <c r="F134" s="54" t="s">
        <v>21</v>
      </c>
      <c r="G134" s="54" t="s">
        <v>30</v>
      </c>
      <c r="H134" s="54" t="s">
        <v>6</v>
      </c>
      <c r="I134" s="54" t="s">
        <v>11</v>
      </c>
      <c r="M134" s="2"/>
      <c r="U134" s="161"/>
    </row>
    <row r="135" spans="2:21" ht="13.5" thickTop="1">
      <c r="B135" s="185">
        <f>'[1]POOL-joueus'!$B$313</f>
        <v>28.791780821917808</v>
      </c>
      <c r="C135" s="185" t="str">
        <f>'[1]POOL-joueus'!$C$313</f>
        <v>Ana</v>
      </c>
      <c r="D135" s="185" t="str">
        <f>'[1]POOL-joueus'!$D$313</f>
        <v>Francois Beauchemin</v>
      </c>
      <c r="E135" s="185">
        <v>18</v>
      </c>
      <c r="F135" s="185">
        <v>4</v>
      </c>
      <c r="G135" s="185">
        <v>1</v>
      </c>
      <c r="H135" s="139">
        <f aca="true" t="shared" si="19" ref="H135:H145">SUM(F135:G135)</f>
        <v>5</v>
      </c>
      <c r="I135" s="182">
        <f aca="true" t="shared" si="20" ref="I135:I145">H135/E135</f>
        <v>0.2777777777777778</v>
      </c>
      <c r="M135" s="2"/>
      <c r="U135" s="161"/>
    </row>
    <row r="136" spans="2:21" ht="12.75">
      <c r="B136" s="185">
        <f>'[1]POOL-joueus'!$B$324</f>
        <v>25.66849315068493</v>
      </c>
      <c r="C136" s="185" t="str">
        <f>'[1]POOL-joueus'!$C$324</f>
        <v>Cbj</v>
      </c>
      <c r="D136" s="186" t="str">
        <f>'[1]POOL-joueus'!$D$324</f>
        <v>Fedor Tyutin</v>
      </c>
      <c r="E136" s="185">
        <v>19</v>
      </c>
      <c r="F136" s="185">
        <v>1</v>
      </c>
      <c r="G136" s="185">
        <v>7</v>
      </c>
      <c r="H136" s="139">
        <f t="shared" si="19"/>
        <v>8</v>
      </c>
      <c r="I136" s="182">
        <f t="shared" si="20"/>
        <v>0.42105263157894735</v>
      </c>
      <c r="M136" s="2"/>
      <c r="U136" s="161"/>
    </row>
    <row r="137" spans="2:21" ht="12.75">
      <c r="B137" s="189">
        <f>'[1]POOL-joueus'!$B$774</f>
        <v>22.523287671232875</v>
      </c>
      <c r="C137" s="189" t="str">
        <f>'[1]POOL-joueus'!$C$774</f>
        <v>Phx</v>
      </c>
      <c r="D137" s="190" t="str">
        <f>'[1]POOL-joueus'!$D$774</f>
        <v>Keith Yandle</v>
      </c>
      <c r="E137" s="185">
        <v>25</v>
      </c>
      <c r="F137" s="185">
        <v>4</v>
      </c>
      <c r="G137" s="185">
        <v>12</v>
      </c>
      <c r="H137" s="139">
        <f t="shared" si="19"/>
        <v>16</v>
      </c>
      <c r="I137" s="182">
        <f t="shared" si="20"/>
        <v>0.64</v>
      </c>
      <c r="M137" s="2"/>
      <c r="U137" s="161"/>
    </row>
    <row r="138" spans="2:21" ht="12.75">
      <c r="B138" s="189">
        <f>'[1]POOL-joueus'!$B$294</f>
        <v>29.36986301369863</v>
      </c>
      <c r="C138" s="189" t="str">
        <f>'[1]POOL-joueus'!$C$294</f>
        <v>Det</v>
      </c>
      <c r="D138" s="190" t="str">
        <f>'[1]POOL-joueus'!$D$294</f>
        <v>Brad Stuart</v>
      </c>
      <c r="E138" s="189">
        <v>10</v>
      </c>
      <c r="F138" s="189">
        <v>0</v>
      </c>
      <c r="G138" s="189">
        <v>1</v>
      </c>
      <c r="H138" s="139">
        <f t="shared" si="19"/>
        <v>1</v>
      </c>
      <c r="I138" s="182">
        <f t="shared" si="20"/>
        <v>0.1</v>
      </c>
      <c r="M138" s="2"/>
      <c r="U138" s="161"/>
    </row>
    <row r="139" spans="2:21" ht="12.75">
      <c r="B139" s="106">
        <f>'[1]POOL-joueus'!$B$285</f>
        <v>32.52876712328767</v>
      </c>
      <c r="C139" s="106" t="str">
        <f>'[1]POOL-joueus'!$C$285</f>
        <v>Van</v>
      </c>
      <c r="D139" s="126" t="str">
        <f>'[1]POOL-joueus'!$D$285</f>
        <v>Mattias Ohlund</v>
      </c>
      <c r="E139" s="106">
        <f>(((('[1]POOL-joueus'!$E$285)-16)-20))-7</f>
        <v>23</v>
      </c>
      <c r="F139" s="106">
        <f>(((('[1]POOL-joueus'!$F$285)-1)-1))-1</f>
        <v>1</v>
      </c>
      <c r="G139" s="106">
        <f>(((('[1]POOL-joueus'!$G$285)-7)-3))-1</f>
        <v>6</v>
      </c>
      <c r="H139" s="22">
        <f>SUM(F139:G139)</f>
        <v>7</v>
      </c>
      <c r="I139" s="23">
        <f>H139/E139</f>
        <v>0.30434782608695654</v>
      </c>
      <c r="M139" s="2"/>
      <c r="U139" s="161"/>
    </row>
    <row r="140" spans="2:21" ht="12.75">
      <c r="B140" s="108">
        <f>'[1]POOL-joueus'!$B$629</f>
        <v>22.67945205479452</v>
      </c>
      <c r="C140" s="108" t="str">
        <f>'[1]POOL-joueus'!$C$629</f>
        <v>Tor</v>
      </c>
      <c r="D140" s="110" t="str">
        <f>'[1]POOL-joueus'!$D$629</f>
        <v>Nikolai Kulemin</v>
      </c>
      <c r="E140" s="108">
        <f>'[1]POOL-joueus'!$E$629</f>
        <v>62</v>
      </c>
      <c r="F140" s="108">
        <f>'[1]POOL-joueus'!$F$629</f>
        <v>10</v>
      </c>
      <c r="G140" s="108">
        <f>'[1]POOL-joueus'!$G$629</f>
        <v>12</v>
      </c>
      <c r="H140" s="22">
        <f>SUM(F140:G140)</f>
        <v>22</v>
      </c>
      <c r="I140" s="23">
        <f>H140/E140</f>
        <v>0.3548387096774194</v>
      </c>
      <c r="M140" s="2"/>
      <c r="U140" s="161"/>
    </row>
    <row r="141" spans="2:13" ht="12.75">
      <c r="B141" s="107">
        <f>'[1]POOL-joueus'!$B$149</f>
        <v>32.608219178082194</v>
      </c>
      <c r="C141" s="107" t="str">
        <f>'[1]POOL-joueus'!$C$149</f>
        <v>Edm</v>
      </c>
      <c r="D141" s="124" t="str">
        <f>'[1]POOL-joueus'!$D$149</f>
        <v>Lubomir Visnovsky</v>
      </c>
      <c r="E141" s="107">
        <f>('[1]POOL-joueus'!$E$149)-50</f>
        <v>0</v>
      </c>
      <c r="F141" s="107">
        <f>('[1]POOL-joueus'!$F$149)-8</f>
        <v>0</v>
      </c>
      <c r="G141" s="107">
        <f>('[1]POOL-joueus'!$G$149)-23</f>
        <v>0</v>
      </c>
      <c r="H141" s="22">
        <f>SUM(F141:G141)</f>
        <v>0</v>
      </c>
      <c r="I141" s="23" t="e">
        <f>H141/E141</f>
        <v>#DIV/0!</v>
      </c>
      <c r="J141" s="1" t="s">
        <v>234</v>
      </c>
      <c r="M141" s="2"/>
    </row>
    <row r="142" spans="2:13" ht="12.75">
      <c r="B142" s="183">
        <f>'[1]POOL-joueus'!$B$311</f>
        <v>26.312328767123287</v>
      </c>
      <c r="C142" s="183" t="str">
        <f>'[1]POOL-joueus'!$C$311</f>
        <v>Fla</v>
      </c>
      <c r="D142" s="184" t="str">
        <f>'[1]POOL-joueus'!$D$311</f>
        <v>Keith Ballard</v>
      </c>
      <c r="E142" s="183">
        <v>25</v>
      </c>
      <c r="F142" s="183">
        <v>1</v>
      </c>
      <c r="G142" s="183">
        <v>8</v>
      </c>
      <c r="H142" s="139">
        <f>SUM(F142:G142)</f>
        <v>9</v>
      </c>
      <c r="I142" s="182">
        <f>H142/E142</f>
        <v>0.36</v>
      </c>
      <c r="M142" s="2"/>
    </row>
    <row r="143" spans="2:13" ht="12.75">
      <c r="B143" s="185">
        <f>'[1]POOL-joueus'!$B$226</f>
        <v>25.676712328767124</v>
      </c>
      <c r="C143" s="185" t="str">
        <f>'[1]POOL-joueus'!$C$226</f>
        <v>Chi</v>
      </c>
      <c r="D143" s="186" t="str">
        <f>'[1]POOL-joueus'!$D$226</f>
        <v>Duncan Keith</v>
      </c>
      <c r="E143" s="185">
        <v>5</v>
      </c>
      <c r="F143" s="185">
        <v>2</v>
      </c>
      <c r="G143" s="185">
        <v>6</v>
      </c>
      <c r="H143" s="139">
        <f t="shared" si="19"/>
        <v>8</v>
      </c>
      <c r="I143" s="182">
        <f t="shared" si="20"/>
        <v>1.6</v>
      </c>
      <c r="M143" s="2"/>
    </row>
    <row r="144" spans="2:13" ht="13.5" thickBot="1">
      <c r="B144" s="108"/>
      <c r="C144" s="108"/>
      <c r="D144" s="110"/>
      <c r="E144" s="137"/>
      <c r="F144" s="137"/>
      <c r="G144" s="137"/>
      <c r="H144" s="40">
        <f t="shared" si="19"/>
        <v>0</v>
      </c>
      <c r="I144" s="41" t="e">
        <f t="shared" si="20"/>
        <v>#DIV/0!</v>
      </c>
      <c r="M144" s="2"/>
    </row>
    <row r="145" spans="2:13" ht="12.75">
      <c r="B145" s="278" t="s">
        <v>7</v>
      </c>
      <c r="C145" s="281"/>
      <c r="D145" s="279"/>
      <c r="E145" s="22">
        <f>SUM(E135:E144)</f>
        <v>187</v>
      </c>
      <c r="F145" s="22">
        <f>SUM(F135:F144)</f>
        <v>23</v>
      </c>
      <c r="G145" s="22">
        <f>SUM(G135:G144)</f>
        <v>53</v>
      </c>
      <c r="H145" s="22">
        <f t="shared" si="19"/>
        <v>76</v>
      </c>
      <c r="I145" s="23">
        <f t="shared" si="20"/>
        <v>0.40641711229946526</v>
      </c>
      <c r="M145" s="2"/>
    </row>
    <row r="146" spans="2:13" ht="12.75">
      <c r="B146" s="76"/>
      <c r="C146" s="76"/>
      <c r="D146" s="76"/>
      <c r="E146" s="53"/>
      <c r="F146" s="53"/>
      <c r="G146" s="53"/>
      <c r="H146" s="53"/>
      <c r="I146" s="77"/>
      <c r="M146" s="2"/>
    </row>
    <row r="147" spans="2:13" ht="13.5">
      <c r="B147" s="251" t="s">
        <v>141</v>
      </c>
      <c r="C147" s="252"/>
      <c r="D147" s="252"/>
      <c r="E147" s="252"/>
      <c r="F147" s="252"/>
      <c r="G147" s="252"/>
      <c r="H147" s="252"/>
      <c r="I147" s="252"/>
      <c r="J147" s="252"/>
      <c r="K147" s="253"/>
      <c r="M147" s="2"/>
    </row>
    <row r="148" spans="2:13" ht="13.5" thickBot="1">
      <c r="B148" s="54" t="s">
        <v>15</v>
      </c>
      <c r="C148" s="54" t="s">
        <v>16</v>
      </c>
      <c r="D148" s="54" t="s">
        <v>17</v>
      </c>
      <c r="E148" s="54" t="s">
        <v>2</v>
      </c>
      <c r="F148" s="54" t="s">
        <v>18</v>
      </c>
      <c r="G148" s="54" t="s">
        <v>19</v>
      </c>
      <c r="H148" s="54" t="s">
        <v>20</v>
      </c>
      <c r="I148" s="54" t="s">
        <v>21</v>
      </c>
      <c r="J148" s="54" t="s">
        <v>22</v>
      </c>
      <c r="K148" s="54" t="s">
        <v>6</v>
      </c>
      <c r="M148" s="2"/>
    </row>
    <row r="149" spans="2:13" ht="13.5" thickTop="1">
      <c r="B149" s="108">
        <f>'[1]Pool-gardien'!$B$129</f>
        <v>20.89041095890411</v>
      </c>
      <c r="C149" s="108" t="str">
        <f>'[1]Pool-gardien'!$C$129</f>
        <v>Wsh</v>
      </c>
      <c r="D149" s="110" t="str">
        <f>'[1]Pool-gardien'!$D$129</f>
        <v>Simeon Varlamov</v>
      </c>
      <c r="E149" s="108">
        <f>((('[1]Pool-gardien'!$E$129)-1))-1</f>
        <v>0</v>
      </c>
      <c r="F149" s="108">
        <f>((('[1]Pool-gardien'!$F$129)-1))-1</f>
        <v>0</v>
      </c>
      <c r="G149" s="108">
        <f>((('[1]Pool-gardien'!$G$129)-0))-0</f>
        <v>0</v>
      </c>
      <c r="H149" s="108">
        <f>((('[1]Pool-gardien'!$H$129)-0))-0</f>
        <v>0</v>
      </c>
      <c r="I149" s="108">
        <f>((('[1]Pool-gardien'!$I$129)-0))-0</f>
        <v>0</v>
      </c>
      <c r="J149" s="108">
        <f>((('[1]Pool-gardien'!$J$129)-0))-0</f>
        <v>0</v>
      </c>
      <c r="K149" s="43">
        <f>(F149*2)+G149+(H149*4)+(I149*10)+J149</f>
        <v>0</v>
      </c>
      <c r="M149" s="2"/>
    </row>
    <row r="150" spans="2:13" ht="13.5" thickBot="1">
      <c r="B150" s="180"/>
      <c r="C150" s="180"/>
      <c r="D150" s="181"/>
      <c r="E150" s="196"/>
      <c r="F150" s="196"/>
      <c r="G150" s="196"/>
      <c r="H150" s="196"/>
      <c r="I150" s="196"/>
      <c r="J150" s="196"/>
      <c r="K150" s="210">
        <f>(F150*2)+G150+(H150*4)+(I150*10)+J150</f>
        <v>0</v>
      </c>
      <c r="M150" s="2"/>
    </row>
    <row r="151" spans="2:13" ht="12.75">
      <c r="B151" s="274" t="s">
        <v>26</v>
      </c>
      <c r="C151" s="275"/>
      <c r="D151" s="255"/>
      <c r="E151" s="14">
        <f aca="true" t="shared" si="21" ref="E151:J151">SUM(E148:E150)</f>
        <v>0</v>
      </c>
      <c r="F151" s="14">
        <f t="shared" si="21"/>
        <v>0</v>
      </c>
      <c r="G151" s="14">
        <f t="shared" si="21"/>
        <v>0</v>
      </c>
      <c r="H151" s="14">
        <f t="shared" si="21"/>
        <v>0</v>
      </c>
      <c r="I151" s="14">
        <f t="shared" si="21"/>
        <v>0</v>
      </c>
      <c r="J151" s="14">
        <f t="shared" si="21"/>
        <v>0</v>
      </c>
      <c r="K151" s="14">
        <f>(F151*2)+G151+(H151*4)+(I151*10)+J151</f>
        <v>0</v>
      </c>
      <c r="M151" s="2"/>
    </row>
    <row r="152" spans="2:13" ht="13.5">
      <c r="B152" s="251" t="s">
        <v>27</v>
      </c>
      <c r="C152" s="252"/>
      <c r="D152" s="252"/>
      <c r="E152" s="252"/>
      <c r="F152" s="252"/>
      <c r="G152" s="252"/>
      <c r="H152" s="252"/>
      <c r="I152" s="253"/>
      <c r="M152" s="2"/>
    </row>
    <row r="153" spans="1:13" ht="13.5" thickBot="1">
      <c r="A153" s="54" t="s">
        <v>143</v>
      </c>
      <c r="B153" s="54" t="s">
        <v>15</v>
      </c>
      <c r="C153" s="54" t="s">
        <v>29</v>
      </c>
      <c r="D153" s="54" t="s">
        <v>17</v>
      </c>
      <c r="E153" s="54" t="s">
        <v>2</v>
      </c>
      <c r="F153" s="54" t="s">
        <v>21</v>
      </c>
      <c r="G153" s="54" t="s">
        <v>30</v>
      </c>
      <c r="H153" s="54" t="s">
        <v>6</v>
      </c>
      <c r="I153" s="54" t="s">
        <v>11</v>
      </c>
      <c r="M153" s="2"/>
    </row>
    <row r="154" spans="1:13" ht="13.5" thickTop="1">
      <c r="A154" s="43" t="s">
        <v>144</v>
      </c>
      <c r="B154" s="107">
        <f>'[1]POOL-joueus'!$B$780</f>
        <v>20.84931506849315</v>
      </c>
      <c r="C154" s="107" t="str">
        <f>'[1]POOL-joueus'!$C$780</f>
        <v>Phx</v>
      </c>
      <c r="D154" s="124" t="str">
        <f>'[1]POOL-joueus'!$D$780</f>
        <v>Viktor Tikhonov</v>
      </c>
      <c r="E154" s="138">
        <f>'[1]POOL-joueus'!$E$780</f>
        <v>50</v>
      </c>
      <c r="F154" s="138">
        <f>'[1]POOL-joueus'!$F$780</f>
        <v>7</v>
      </c>
      <c r="G154" s="138">
        <f>'[1]POOL-joueus'!$G$780</f>
        <v>6</v>
      </c>
      <c r="H154" s="28">
        <f aca="true" t="shared" si="22" ref="H154:H164">SUM(F154:G154)</f>
        <v>13</v>
      </c>
      <c r="I154" s="29">
        <f aca="true" t="shared" si="23" ref="I154:I164">H154/E154</f>
        <v>0.26</v>
      </c>
      <c r="M154" s="2"/>
    </row>
    <row r="155" spans="1:19" ht="12.75">
      <c r="A155" s="202" t="s">
        <v>145</v>
      </c>
      <c r="B155" s="185">
        <f>'[1]POOL-joueus'!$B$802</f>
        <v>22.90684931506849</v>
      </c>
      <c r="C155" s="185" t="str">
        <f>'[1]POOL-joueus'!$C$802</f>
        <v>Phx</v>
      </c>
      <c r="D155" s="186" t="str">
        <f>'[1]POOL-joueus'!$D$802</f>
        <v>Enver Lisin</v>
      </c>
      <c r="E155" s="214">
        <v>17</v>
      </c>
      <c r="F155" s="214">
        <v>2</v>
      </c>
      <c r="G155" s="214">
        <v>4</v>
      </c>
      <c r="H155" s="140">
        <f t="shared" si="22"/>
        <v>6</v>
      </c>
      <c r="I155" s="199">
        <f t="shared" si="23"/>
        <v>0.35294117647058826</v>
      </c>
      <c r="M155" s="2"/>
      <c r="N155" s="81"/>
      <c r="O155" s="81"/>
      <c r="P155" s="81"/>
      <c r="Q155" s="81"/>
      <c r="R155" s="81"/>
      <c r="S155" s="81"/>
    </row>
    <row r="156" spans="1:13" ht="12.75">
      <c r="A156" s="43" t="s">
        <v>145</v>
      </c>
      <c r="B156" s="107">
        <f>'[1]POOL-joueus'!$B$455</f>
        <v>22.715068493150685</v>
      </c>
      <c r="C156" s="107" t="str">
        <f>'[1]POOL-joueus'!$C$455</f>
        <v>Edm</v>
      </c>
      <c r="D156" s="124" t="str">
        <f>'[1]POOL-joueus'!$D$455</f>
        <v>Rob Schremp</v>
      </c>
      <c r="E156" s="107">
        <f>('[1]POOL-joueus'!$E$455)-2</f>
        <v>2</v>
      </c>
      <c r="F156" s="107">
        <f>('[1]POOL-joueus'!$F$455)-0</f>
        <v>0</v>
      </c>
      <c r="G156" s="107">
        <f>('[1]POOL-joueus'!$G$455)-3</f>
        <v>0</v>
      </c>
      <c r="H156" s="28">
        <f t="shared" si="22"/>
        <v>0</v>
      </c>
      <c r="I156" s="29">
        <f t="shared" si="23"/>
        <v>0</v>
      </c>
      <c r="M156" s="2"/>
    </row>
    <row r="157" spans="1:15" ht="14.25" thickBot="1">
      <c r="A157" s="14" t="s">
        <v>235</v>
      </c>
      <c r="B157" s="108">
        <f>'[1]POOL-joueus'!$B$566</f>
        <v>21.980821917808218</v>
      </c>
      <c r="C157" s="108" t="str">
        <f>'[1]POOL-joueus'!$C$566</f>
        <v>Ott</v>
      </c>
      <c r="D157" s="110" t="str">
        <f>'[1]POOL-joueus'!$D$566</f>
        <v>Brian Lee</v>
      </c>
      <c r="E157" s="108">
        <f>('[1]POOL-joueus'!$E$566)-32</f>
        <v>7</v>
      </c>
      <c r="F157" s="108">
        <f>('[1]POOL-joueus'!$F$566)-2</f>
        <v>0</v>
      </c>
      <c r="G157" s="108">
        <f>('[1]POOL-joueus'!$G$566)-8</f>
        <v>1</v>
      </c>
      <c r="H157" s="28">
        <f>SUM(F157:G157)</f>
        <v>1</v>
      </c>
      <c r="I157" s="29">
        <f>H157/E157</f>
        <v>0.14285714285714285</v>
      </c>
      <c r="M157" s="2"/>
      <c r="N157" s="86" t="s">
        <v>82</v>
      </c>
      <c r="O157" s="86" t="s">
        <v>81</v>
      </c>
    </row>
    <row r="158" spans="1:15" ht="12.75">
      <c r="A158" s="108" t="s">
        <v>145</v>
      </c>
      <c r="B158" s="108">
        <f>'[1]POOL-joueus'!$B$629</f>
        <v>22.67945205479452</v>
      </c>
      <c r="C158" s="108" t="str">
        <f>'[1]POOL-joueus'!$C$629</f>
        <v>Tor</v>
      </c>
      <c r="D158" s="110" t="str">
        <f>'[1]POOL-joueus'!$D$629</f>
        <v>Nikolai Kulemin</v>
      </c>
      <c r="E158" s="108">
        <f>('[1]POOL-joueus'!$E$629)-40</f>
        <v>22</v>
      </c>
      <c r="F158" s="108">
        <f>('[1]POOL-joueus'!$F$629)-7</f>
        <v>3</v>
      </c>
      <c r="G158" s="108">
        <f>('[1]POOL-joueus'!$G$629)-7</f>
        <v>5</v>
      </c>
      <c r="H158" s="28">
        <f>SUM(F158:G158)</f>
        <v>8</v>
      </c>
      <c r="I158" s="29">
        <f>H158/E158</f>
        <v>0.36363636363636365</v>
      </c>
      <c r="J158" s="1" t="s">
        <v>77</v>
      </c>
      <c r="M158" s="2"/>
      <c r="N158" s="85" t="s">
        <v>71</v>
      </c>
      <c r="O158" s="87">
        <v>3</v>
      </c>
    </row>
    <row r="159" spans="1:15" ht="13.5" thickBot="1">
      <c r="A159" s="202" t="s">
        <v>145</v>
      </c>
      <c r="B159" s="185">
        <f>'[1]POOL-joueus'!$B$440</f>
        <v>25.145205479452056</v>
      </c>
      <c r="C159" s="185" t="str">
        <f>'[1]POOL-joueus'!$C$440</f>
        <v>Tor</v>
      </c>
      <c r="D159" s="186" t="str">
        <f>'[1]POOL-joueus'!$D$440</f>
        <v>Jeremy Williams</v>
      </c>
      <c r="E159" s="185">
        <v>1</v>
      </c>
      <c r="F159" s="185">
        <v>0</v>
      </c>
      <c r="G159" s="185">
        <v>0</v>
      </c>
      <c r="H159" s="140">
        <f t="shared" si="22"/>
        <v>0</v>
      </c>
      <c r="I159" s="199">
        <f t="shared" si="23"/>
        <v>0</v>
      </c>
      <c r="M159" s="2"/>
      <c r="N159" s="83" t="s">
        <v>72</v>
      </c>
      <c r="O159" s="88">
        <v>12</v>
      </c>
    </row>
    <row r="160" spans="1:15" ht="13.5" thickTop="1">
      <c r="A160" s="202" t="s">
        <v>144</v>
      </c>
      <c r="B160" s="185">
        <f>'[1]POOL-joueus'!$B$536</f>
        <v>20.55890410958904</v>
      </c>
      <c r="C160" s="185" t="str">
        <f>'[1]POOL-joueus'!$C$536</f>
        <v>L.A.</v>
      </c>
      <c r="D160" s="186" t="str">
        <f>'[1]POOL-joueus'!$D$536</f>
        <v>Wayne Simmonds</v>
      </c>
      <c r="E160" s="185">
        <v>11</v>
      </c>
      <c r="F160" s="185">
        <v>0</v>
      </c>
      <c r="G160" s="185">
        <v>0</v>
      </c>
      <c r="H160" s="140">
        <f t="shared" si="22"/>
        <v>0</v>
      </c>
      <c r="I160" s="199">
        <f t="shared" si="23"/>
        <v>0</v>
      </c>
      <c r="M160" s="2"/>
      <c r="N160" s="91" t="s">
        <v>238</v>
      </c>
      <c r="O160" s="92">
        <f>SUM(O158:O159)</f>
        <v>15</v>
      </c>
    </row>
    <row r="161" spans="1:15" ht="12.75">
      <c r="A161" s="43"/>
      <c r="B161" s="185">
        <f>'[1]POOL-joueus'!$B$799</f>
        <v>24.153424657534245</v>
      </c>
      <c r="C161" s="185" t="str">
        <f>'[1]POOL-joueus'!$C$799</f>
        <v>Tor</v>
      </c>
      <c r="D161" s="186" t="str">
        <f>'[1]POOL-joueus'!$D$799</f>
        <v>John Mitchell</v>
      </c>
      <c r="E161" s="185">
        <v>13</v>
      </c>
      <c r="F161" s="185">
        <v>0</v>
      </c>
      <c r="G161" s="185">
        <v>2</v>
      </c>
      <c r="H161" s="140">
        <f t="shared" si="22"/>
        <v>2</v>
      </c>
      <c r="I161" s="199">
        <f t="shared" si="23"/>
        <v>0.15384615384615385</v>
      </c>
      <c r="M161" s="2"/>
      <c r="N161" s="84"/>
      <c r="O161" s="89"/>
    </row>
    <row r="162" spans="1:15" ht="12.75">
      <c r="A162" s="108" t="s">
        <v>145</v>
      </c>
      <c r="B162" s="108">
        <f>'[1]POOL-joueus'!$B$502</f>
        <v>24.112328767123287</v>
      </c>
      <c r="C162" s="108" t="str">
        <f>'[1]POOL-joueus'!$C$502</f>
        <v>Dal</v>
      </c>
      <c r="D162" s="110" t="str">
        <f>'[1]POOL-joueus'!$D$502</f>
        <v>Fabian Brunnstrom</v>
      </c>
      <c r="E162" s="108">
        <f>(('[1]POOL-joueus'!$E$502)-21)-15</f>
        <v>9</v>
      </c>
      <c r="F162" s="108">
        <f>(('[1]POOL-joueus'!$F$502)-6)-6</f>
        <v>1</v>
      </c>
      <c r="G162" s="108">
        <f>(('[1]POOL-joueus'!$G$502)-1)-5</f>
        <v>4</v>
      </c>
      <c r="H162" s="28">
        <f t="shared" si="22"/>
        <v>5</v>
      </c>
      <c r="I162" s="29">
        <f t="shared" si="23"/>
        <v>0.5555555555555556</v>
      </c>
      <c r="M162" s="2"/>
      <c r="N162" s="83" t="s">
        <v>73</v>
      </c>
      <c r="O162" s="90">
        <v>6</v>
      </c>
    </row>
    <row r="163" spans="2:15" ht="13.5" thickBot="1">
      <c r="B163" s="107"/>
      <c r="C163" s="107"/>
      <c r="D163" s="124"/>
      <c r="E163" s="123"/>
      <c r="F163" s="123"/>
      <c r="G163" s="123"/>
      <c r="H163" s="114">
        <f t="shared" si="22"/>
        <v>0</v>
      </c>
      <c r="I163" s="115" t="e">
        <f t="shared" si="23"/>
        <v>#DIV/0!</v>
      </c>
      <c r="L163" s="129"/>
      <c r="M163" s="2"/>
      <c r="N163" s="83" t="s">
        <v>74</v>
      </c>
      <c r="O163" s="90">
        <v>34</v>
      </c>
    </row>
    <row r="164" spans="2:15" ht="12.75">
      <c r="B164" s="278" t="s">
        <v>7</v>
      </c>
      <c r="C164" s="281"/>
      <c r="D164" s="279"/>
      <c r="E164" s="22">
        <f>SUM(E154:E163)</f>
        <v>132</v>
      </c>
      <c r="F164" s="22">
        <f>SUM(F154:F163)</f>
        <v>13</v>
      </c>
      <c r="G164" s="22">
        <f>SUM(G154:G163)</f>
        <v>22</v>
      </c>
      <c r="H164" s="22">
        <f t="shared" si="22"/>
        <v>35</v>
      </c>
      <c r="I164" s="23">
        <f t="shared" si="23"/>
        <v>0.26515151515151514</v>
      </c>
      <c r="L164" s="129"/>
      <c r="M164" s="2"/>
      <c r="N164" s="83" t="s">
        <v>75</v>
      </c>
      <c r="O164" s="90"/>
    </row>
    <row r="165" spans="2:15" ht="12.75">
      <c r="B165" s="76"/>
      <c r="C165" s="76"/>
      <c r="D165" s="76"/>
      <c r="E165" s="53"/>
      <c r="F165" s="53"/>
      <c r="G165" s="53"/>
      <c r="H165" s="53"/>
      <c r="I165" s="77"/>
      <c r="L165" s="129"/>
      <c r="M165" s="2"/>
      <c r="N165" s="83" t="s">
        <v>76</v>
      </c>
      <c r="O165" s="90"/>
    </row>
    <row r="166" spans="2:15" ht="12.75">
      <c r="B166" s="278" t="s">
        <v>142</v>
      </c>
      <c r="C166" s="281"/>
      <c r="D166" s="279"/>
      <c r="E166" s="109">
        <f>E164+E151</f>
        <v>132</v>
      </c>
      <c r="F166" s="112"/>
      <c r="G166" s="112"/>
      <c r="H166" s="28">
        <f>H164+K151</f>
        <v>35</v>
      </c>
      <c r="I166" s="29">
        <f>H166/E166</f>
        <v>0.26515151515151514</v>
      </c>
      <c r="L166" s="129"/>
      <c r="M166" s="2"/>
      <c r="N166" s="83" t="s">
        <v>79</v>
      </c>
      <c r="O166" s="90"/>
    </row>
    <row r="167" spans="2:15" ht="12.75">
      <c r="B167" s="76"/>
      <c r="C167" s="76"/>
      <c r="D167" s="76"/>
      <c r="E167" s="53"/>
      <c r="F167" s="53"/>
      <c r="G167" s="53"/>
      <c r="H167" s="53"/>
      <c r="I167" s="77"/>
      <c r="L167" s="129"/>
      <c r="M167" s="2"/>
      <c r="N167" s="83" t="s">
        <v>77</v>
      </c>
      <c r="O167" s="90">
        <v>3</v>
      </c>
    </row>
    <row r="168" spans="2:15" ht="12.75">
      <c r="B168" s="76"/>
      <c r="C168" s="76"/>
      <c r="D168" s="76"/>
      <c r="E168" s="53"/>
      <c r="F168" s="53"/>
      <c r="G168" s="53"/>
      <c r="H168" s="53"/>
      <c r="I168" s="77"/>
      <c r="L168" s="130"/>
      <c r="M168" s="2"/>
      <c r="N168" s="83" t="s">
        <v>78</v>
      </c>
      <c r="O168" s="90"/>
    </row>
    <row r="169" spans="2:15" ht="12.75">
      <c r="B169" s="78"/>
      <c r="C169" s="78"/>
      <c r="D169" s="78"/>
      <c r="E169" s="79"/>
      <c r="F169" s="79"/>
      <c r="G169" s="79"/>
      <c r="H169" s="79"/>
      <c r="I169" s="80"/>
      <c r="J169" s="81"/>
      <c r="K169" s="81"/>
      <c r="L169" s="81"/>
      <c r="M169" s="2"/>
      <c r="N169" s="84"/>
      <c r="O169" s="89"/>
    </row>
    <row r="170" spans="13:15" ht="13.5" thickBot="1">
      <c r="M170" s="2"/>
      <c r="N170" s="93" t="s">
        <v>80</v>
      </c>
      <c r="O170" s="94">
        <f>SUM(O160:O168)</f>
        <v>58</v>
      </c>
    </row>
    <row r="171" spans="2:11" ht="13.5" thickBot="1">
      <c r="B171" s="284" t="s">
        <v>49</v>
      </c>
      <c r="C171" s="285"/>
      <c r="D171" s="285"/>
      <c r="E171" s="285"/>
      <c r="F171" s="285"/>
      <c r="G171" s="285"/>
      <c r="H171" s="285"/>
      <c r="I171" s="285"/>
      <c r="J171" s="285"/>
      <c r="K171" s="286"/>
    </row>
    <row r="172" spans="2:11" ht="12.75">
      <c r="B172" s="287" t="s">
        <v>50</v>
      </c>
      <c r="C172" s="288"/>
      <c r="D172" s="58" t="s">
        <v>51</v>
      </c>
      <c r="E172" s="313" t="s">
        <v>52</v>
      </c>
      <c r="F172" s="314"/>
      <c r="G172" s="313" t="s">
        <v>53</v>
      </c>
      <c r="H172" s="323"/>
      <c r="I172" s="314"/>
      <c r="J172" s="313" t="s">
        <v>54</v>
      </c>
      <c r="K172" s="314"/>
    </row>
    <row r="173" spans="2:11" ht="12.75">
      <c r="B173" s="259" t="s">
        <v>185</v>
      </c>
      <c r="C173" s="260"/>
      <c r="D173" s="47" t="s">
        <v>201</v>
      </c>
      <c r="E173" s="259" t="s">
        <v>192</v>
      </c>
      <c r="F173" s="260"/>
      <c r="G173" s="259" t="s">
        <v>197</v>
      </c>
      <c r="H173" s="261"/>
      <c r="I173" s="260"/>
      <c r="J173" s="259" t="s">
        <v>200</v>
      </c>
      <c r="K173" s="260"/>
    </row>
    <row r="174" spans="2:11" ht="12.75">
      <c r="B174" s="259" t="s">
        <v>234</v>
      </c>
      <c r="C174" s="260"/>
      <c r="D174" s="47" t="s">
        <v>279</v>
      </c>
      <c r="E174" s="259" t="s">
        <v>250</v>
      </c>
      <c r="F174" s="260"/>
      <c r="G174" s="259" t="s">
        <v>280</v>
      </c>
      <c r="H174" s="261"/>
      <c r="I174" s="260"/>
      <c r="J174" s="259" t="s">
        <v>281</v>
      </c>
      <c r="K174" s="260"/>
    </row>
    <row r="175" spans="2:11" ht="12.75">
      <c r="B175" s="259" t="s">
        <v>288</v>
      </c>
      <c r="C175" s="260"/>
      <c r="D175" s="47" t="s">
        <v>301</v>
      </c>
      <c r="E175" s="259" t="s">
        <v>250</v>
      </c>
      <c r="F175" s="260"/>
      <c r="G175" s="259" t="s">
        <v>302</v>
      </c>
      <c r="H175" s="261"/>
      <c r="I175" s="260"/>
      <c r="J175" s="259" t="s">
        <v>303</v>
      </c>
      <c r="K175" s="260"/>
    </row>
    <row r="176" spans="2:11" ht="12.75">
      <c r="B176" s="259" t="s">
        <v>288</v>
      </c>
      <c r="C176" s="260"/>
      <c r="D176" s="47" t="s">
        <v>319</v>
      </c>
      <c r="E176" s="259" t="s">
        <v>250</v>
      </c>
      <c r="F176" s="260"/>
      <c r="G176" s="259" t="s">
        <v>320</v>
      </c>
      <c r="H176" s="261"/>
      <c r="I176" s="260"/>
      <c r="J176" s="259" t="s">
        <v>321</v>
      </c>
      <c r="K176" s="260"/>
    </row>
    <row r="177" spans="2:11" ht="12.75">
      <c r="B177" s="259" t="s">
        <v>244</v>
      </c>
      <c r="C177" s="260"/>
      <c r="D177" s="47" t="s">
        <v>328</v>
      </c>
      <c r="E177" s="259" t="s">
        <v>241</v>
      </c>
      <c r="F177" s="260"/>
      <c r="G177" s="259" t="s">
        <v>329</v>
      </c>
      <c r="H177" s="261"/>
      <c r="I177" s="260"/>
      <c r="J177" s="259" t="s">
        <v>330</v>
      </c>
      <c r="K177" s="260"/>
    </row>
    <row r="178" spans="2:11" ht="12.75">
      <c r="B178" s="259" t="s">
        <v>234</v>
      </c>
      <c r="C178" s="260"/>
      <c r="D178" s="47" t="s">
        <v>325</v>
      </c>
      <c r="E178" s="259" t="s">
        <v>250</v>
      </c>
      <c r="F178" s="260"/>
      <c r="G178" s="259" t="s">
        <v>326</v>
      </c>
      <c r="H178" s="261"/>
      <c r="I178" s="260"/>
      <c r="J178" s="259" t="s">
        <v>327</v>
      </c>
      <c r="K178" s="260"/>
    </row>
    <row r="179" spans="2:11" ht="12.75">
      <c r="B179" s="259" t="s">
        <v>308</v>
      </c>
      <c r="C179" s="260"/>
      <c r="D179" s="47" t="s">
        <v>348</v>
      </c>
      <c r="E179" s="259" t="s">
        <v>250</v>
      </c>
      <c r="F179" s="260"/>
      <c r="G179" s="259" t="s">
        <v>349</v>
      </c>
      <c r="H179" s="261"/>
      <c r="I179" s="260"/>
      <c r="J179" s="259" t="s">
        <v>350</v>
      </c>
      <c r="K179" s="260"/>
    </row>
    <row r="180" spans="2:11" ht="12.75">
      <c r="B180" s="259" t="s">
        <v>234</v>
      </c>
      <c r="C180" s="260"/>
      <c r="D180" s="47" t="s">
        <v>360</v>
      </c>
      <c r="E180" s="259" t="s">
        <v>250</v>
      </c>
      <c r="F180" s="260"/>
      <c r="G180" s="259" t="s">
        <v>361</v>
      </c>
      <c r="H180" s="261"/>
      <c r="I180" s="260"/>
      <c r="J180" s="259" t="s">
        <v>362</v>
      </c>
      <c r="K180" s="260"/>
    </row>
    <row r="181" spans="2:11" ht="12.75">
      <c r="B181" s="259" t="s">
        <v>244</v>
      </c>
      <c r="C181" s="260"/>
      <c r="D181" s="47" t="s">
        <v>381</v>
      </c>
      <c r="E181" s="259" t="s">
        <v>241</v>
      </c>
      <c r="F181" s="260"/>
      <c r="G181" s="259" t="s">
        <v>382</v>
      </c>
      <c r="H181" s="261"/>
      <c r="I181" s="260"/>
      <c r="J181" s="259" t="s">
        <v>383</v>
      </c>
      <c r="K181" s="260"/>
    </row>
    <row r="182" spans="2:11" ht="12.75">
      <c r="B182" s="259" t="s">
        <v>244</v>
      </c>
      <c r="C182" s="260"/>
      <c r="D182" s="47" t="s">
        <v>393</v>
      </c>
      <c r="E182" s="259" t="s">
        <v>241</v>
      </c>
      <c r="F182" s="260"/>
      <c r="G182" s="259" t="s">
        <v>394</v>
      </c>
      <c r="H182" s="261"/>
      <c r="I182" s="260"/>
      <c r="J182" s="259" t="s">
        <v>395</v>
      </c>
      <c r="K182" s="260"/>
    </row>
    <row r="183" spans="2:11" ht="12.75">
      <c r="B183" s="259" t="s">
        <v>308</v>
      </c>
      <c r="C183" s="260"/>
      <c r="D183" s="47" t="s">
        <v>401</v>
      </c>
      <c r="E183" s="259" t="s">
        <v>250</v>
      </c>
      <c r="F183" s="260"/>
      <c r="G183" s="259" t="s">
        <v>402</v>
      </c>
      <c r="H183" s="261"/>
      <c r="I183" s="260"/>
      <c r="J183" s="259" t="s">
        <v>403</v>
      </c>
      <c r="K183" s="260"/>
    </row>
    <row r="184" spans="2:11" ht="12.75">
      <c r="B184" s="259" t="s">
        <v>234</v>
      </c>
      <c r="C184" s="260"/>
      <c r="D184" s="47" t="s">
        <v>361</v>
      </c>
      <c r="E184" s="259" t="s">
        <v>250</v>
      </c>
      <c r="F184" s="260"/>
      <c r="G184" s="259" t="s">
        <v>197</v>
      </c>
      <c r="H184" s="261"/>
      <c r="I184" s="260"/>
      <c r="J184" s="259" t="s">
        <v>416</v>
      </c>
      <c r="K184" s="260"/>
    </row>
    <row r="185" spans="2:11" ht="12.75">
      <c r="B185" s="259" t="s">
        <v>234</v>
      </c>
      <c r="C185" s="260"/>
      <c r="D185" s="47" t="s">
        <v>360</v>
      </c>
      <c r="E185" s="259" t="s">
        <v>250</v>
      </c>
      <c r="F185" s="260"/>
      <c r="G185" s="259" t="s">
        <v>461</v>
      </c>
      <c r="H185" s="261"/>
      <c r="I185" s="260"/>
      <c r="J185" s="259" t="s">
        <v>462</v>
      </c>
      <c r="K185" s="260"/>
    </row>
    <row r="186" spans="2:11" ht="12.75">
      <c r="B186" s="259" t="s">
        <v>244</v>
      </c>
      <c r="C186" s="260"/>
      <c r="D186" s="47" t="s">
        <v>505</v>
      </c>
      <c r="E186" s="259" t="s">
        <v>241</v>
      </c>
      <c r="F186" s="260"/>
      <c r="G186" s="259" t="s">
        <v>506</v>
      </c>
      <c r="H186" s="261"/>
      <c r="I186" s="260"/>
      <c r="J186" s="259" t="s">
        <v>507</v>
      </c>
      <c r="K186" s="260"/>
    </row>
    <row r="187" spans="2:11" ht="12.75">
      <c r="B187" s="259" t="s">
        <v>234</v>
      </c>
      <c r="C187" s="260"/>
      <c r="D187" s="47" t="s">
        <v>461</v>
      </c>
      <c r="E187" s="259" t="s">
        <v>250</v>
      </c>
      <c r="F187" s="260"/>
      <c r="G187" s="259" t="s">
        <v>522</v>
      </c>
      <c r="H187" s="261"/>
      <c r="I187" s="260"/>
      <c r="J187" s="259" t="s">
        <v>523</v>
      </c>
      <c r="K187" s="260"/>
    </row>
    <row r="188" spans="2:11" ht="12.75">
      <c r="B188" s="259" t="s">
        <v>308</v>
      </c>
      <c r="C188" s="260"/>
      <c r="D188" s="47" t="s">
        <v>320</v>
      </c>
      <c r="E188" s="259" t="s">
        <v>250</v>
      </c>
      <c r="F188" s="260"/>
      <c r="G188" s="259" t="s">
        <v>536</v>
      </c>
      <c r="H188" s="261"/>
      <c r="I188" s="260"/>
      <c r="J188" s="259" t="s">
        <v>537</v>
      </c>
      <c r="K188" s="260"/>
    </row>
    <row r="189" spans="2:11" ht="25.5">
      <c r="B189" s="259" t="s">
        <v>185</v>
      </c>
      <c r="C189" s="260"/>
      <c r="D189" s="151" t="s">
        <v>560</v>
      </c>
      <c r="E189" s="259" t="s">
        <v>192</v>
      </c>
      <c r="F189" s="260"/>
      <c r="G189" s="262" t="s">
        <v>562</v>
      </c>
      <c r="H189" s="261"/>
      <c r="I189" s="260"/>
      <c r="J189" s="259" t="s">
        <v>561</v>
      </c>
      <c r="K189" s="260"/>
    </row>
    <row r="190" spans="2:11" ht="12.75">
      <c r="B190" s="259" t="s">
        <v>563</v>
      </c>
      <c r="C190" s="260"/>
      <c r="D190" s="259" t="s">
        <v>569</v>
      </c>
      <c r="E190" s="261"/>
      <c r="F190" s="261"/>
      <c r="G190" s="261"/>
      <c r="H190" s="261"/>
      <c r="I190" s="260"/>
      <c r="J190" s="259" t="s">
        <v>561</v>
      </c>
      <c r="K190" s="260"/>
    </row>
    <row r="191" spans="2:11" ht="12.75">
      <c r="B191" s="259" t="s">
        <v>244</v>
      </c>
      <c r="C191" s="260"/>
      <c r="D191" s="47" t="s">
        <v>817</v>
      </c>
      <c r="E191" s="259" t="s">
        <v>241</v>
      </c>
      <c r="F191" s="260"/>
      <c r="G191" s="259" t="s">
        <v>584</v>
      </c>
      <c r="H191" s="261"/>
      <c r="I191" s="260"/>
      <c r="J191" s="259" t="s">
        <v>585</v>
      </c>
      <c r="K191" s="260"/>
    </row>
    <row r="192" spans="2:11" ht="12.75">
      <c r="B192" s="259" t="s">
        <v>234</v>
      </c>
      <c r="C192" s="260"/>
      <c r="D192" s="47" t="s">
        <v>590</v>
      </c>
      <c r="E192" s="259" t="s">
        <v>250</v>
      </c>
      <c r="F192" s="260"/>
      <c r="G192" s="259" t="s">
        <v>591</v>
      </c>
      <c r="H192" s="261"/>
      <c r="I192" s="260"/>
      <c r="J192" s="259" t="s">
        <v>592</v>
      </c>
      <c r="K192" s="260"/>
    </row>
    <row r="193" spans="2:11" ht="12.75">
      <c r="B193" s="259" t="s">
        <v>244</v>
      </c>
      <c r="C193" s="260"/>
      <c r="D193" s="47" t="s">
        <v>600</v>
      </c>
      <c r="E193" s="259" t="s">
        <v>241</v>
      </c>
      <c r="F193" s="260"/>
      <c r="G193" s="259" t="s">
        <v>601</v>
      </c>
      <c r="H193" s="261"/>
      <c r="I193" s="260"/>
      <c r="J193" s="259" t="s">
        <v>602</v>
      </c>
      <c r="K193" s="260"/>
    </row>
    <row r="194" spans="2:11" ht="12.75">
      <c r="B194" s="259" t="s">
        <v>234</v>
      </c>
      <c r="C194" s="260"/>
      <c r="D194" s="47" t="s">
        <v>493</v>
      </c>
      <c r="E194" s="259" t="s">
        <v>250</v>
      </c>
      <c r="F194" s="260"/>
      <c r="G194" s="259" t="s">
        <v>320</v>
      </c>
      <c r="H194" s="261"/>
      <c r="I194" s="260"/>
      <c r="J194" s="259" t="s">
        <v>621</v>
      </c>
      <c r="K194" s="260"/>
    </row>
    <row r="195" spans="2:11" ht="12.75">
      <c r="B195" s="259" t="s">
        <v>308</v>
      </c>
      <c r="C195" s="260"/>
      <c r="D195" s="47" t="s">
        <v>628</v>
      </c>
      <c r="E195" s="259" t="s">
        <v>250</v>
      </c>
      <c r="F195" s="260"/>
      <c r="G195" s="259" t="s">
        <v>493</v>
      </c>
      <c r="H195" s="261"/>
      <c r="I195" s="260"/>
      <c r="J195" s="259" t="s">
        <v>629</v>
      </c>
      <c r="K195" s="260"/>
    </row>
    <row r="196" spans="2:11" ht="12.75">
      <c r="B196" s="259" t="s">
        <v>234</v>
      </c>
      <c r="C196" s="260"/>
      <c r="D196" s="47" t="s">
        <v>493</v>
      </c>
      <c r="E196" s="259" t="s">
        <v>250</v>
      </c>
      <c r="F196" s="260"/>
      <c r="G196" s="259" t="s">
        <v>630</v>
      </c>
      <c r="H196" s="261"/>
      <c r="I196" s="260"/>
      <c r="J196" s="259" t="s">
        <v>631</v>
      </c>
      <c r="K196" s="260"/>
    </row>
    <row r="197" spans="2:11" ht="12.75">
      <c r="B197" s="259" t="s">
        <v>308</v>
      </c>
      <c r="C197" s="260"/>
      <c r="D197" s="47" t="s">
        <v>645</v>
      </c>
      <c r="E197" s="259" t="s">
        <v>250</v>
      </c>
      <c r="F197" s="260"/>
      <c r="G197" s="259" t="s">
        <v>590</v>
      </c>
      <c r="H197" s="261"/>
      <c r="I197" s="260"/>
      <c r="J197" s="259" t="s">
        <v>646</v>
      </c>
      <c r="K197" s="260"/>
    </row>
    <row r="198" spans="2:11" ht="12.75">
      <c r="B198" s="259" t="s">
        <v>244</v>
      </c>
      <c r="C198" s="260"/>
      <c r="D198" s="47" t="s">
        <v>664</v>
      </c>
      <c r="E198" s="259" t="s">
        <v>241</v>
      </c>
      <c r="F198" s="260"/>
      <c r="G198" s="259" t="s">
        <v>665</v>
      </c>
      <c r="H198" s="261"/>
      <c r="I198" s="260"/>
      <c r="J198" s="259" t="s">
        <v>663</v>
      </c>
      <c r="K198" s="260"/>
    </row>
    <row r="199" spans="2:11" ht="39" customHeight="1">
      <c r="B199" s="259" t="s">
        <v>234</v>
      </c>
      <c r="C199" s="260"/>
      <c r="D199" s="47" t="s">
        <v>675</v>
      </c>
      <c r="E199" s="259" t="s">
        <v>250</v>
      </c>
      <c r="F199" s="260"/>
      <c r="G199" s="259" t="s">
        <v>601</v>
      </c>
      <c r="H199" s="261"/>
      <c r="I199" s="260"/>
      <c r="J199" s="259" t="s">
        <v>676</v>
      </c>
      <c r="K199" s="260"/>
    </row>
    <row r="200" spans="2:11" ht="12.75">
      <c r="B200" s="259" t="s">
        <v>244</v>
      </c>
      <c r="C200" s="260"/>
      <c r="D200" s="47" t="s">
        <v>689</v>
      </c>
      <c r="E200" s="259" t="s">
        <v>241</v>
      </c>
      <c r="F200" s="260"/>
      <c r="G200" s="259" t="s">
        <v>690</v>
      </c>
      <c r="H200" s="261"/>
      <c r="I200" s="260"/>
      <c r="J200" s="259" t="s">
        <v>691</v>
      </c>
      <c r="K200" s="260"/>
    </row>
    <row r="201" spans="2:11" ht="12.75">
      <c r="B201" s="259" t="s">
        <v>234</v>
      </c>
      <c r="C201" s="260"/>
      <c r="D201" s="47" t="s">
        <v>536</v>
      </c>
      <c r="E201" s="259" t="s">
        <v>250</v>
      </c>
      <c r="F201" s="260"/>
      <c r="G201" s="259" t="s">
        <v>628</v>
      </c>
      <c r="H201" s="261"/>
      <c r="I201" s="260"/>
      <c r="J201" s="259" t="s">
        <v>711</v>
      </c>
      <c r="K201" s="260"/>
    </row>
    <row r="202" spans="2:11" ht="12.75">
      <c r="B202" s="259" t="s">
        <v>244</v>
      </c>
      <c r="C202" s="260"/>
      <c r="D202" s="47" t="s">
        <v>727</v>
      </c>
      <c r="E202" s="259" t="s">
        <v>250</v>
      </c>
      <c r="F202" s="260"/>
      <c r="G202" s="259" t="s">
        <v>728</v>
      </c>
      <c r="H202" s="261"/>
      <c r="I202" s="260"/>
      <c r="J202" s="259" t="s">
        <v>729</v>
      </c>
      <c r="K202" s="260"/>
    </row>
    <row r="203" spans="2:11" ht="12.75">
      <c r="B203" s="259" t="s">
        <v>244</v>
      </c>
      <c r="C203" s="260"/>
      <c r="D203" s="47" t="s">
        <v>748</v>
      </c>
      <c r="E203" s="259" t="s">
        <v>241</v>
      </c>
      <c r="F203" s="260"/>
      <c r="G203" s="259" t="s">
        <v>749</v>
      </c>
      <c r="H203" s="261"/>
      <c r="I203" s="260"/>
      <c r="J203" s="259" t="s">
        <v>750</v>
      </c>
      <c r="K203" s="260"/>
    </row>
    <row r="204" spans="2:11" ht="12.75">
      <c r="B204" s="259" t="s">
        <v>234</v>
      </c>
      <c r="C204" s="260"/>
      <c r="D204" s="47" t="s">
        <v>590</v>
      </c>
      <c r="E204" s="259" t="s">
        <v>250</v>
      </c>
      <c r="F204" s="260"/>
      <c r="G204" s="259" t="s">
        <v>752</v>
      </c>
      <c r="H204" s="261"/>
      <c r="I204" s="260"/>
      <c r="J204" s="259" t="s">
        <v>753</v>
      </c>
      <c r="K204" s="260"/>
    </row>
    <row r="205" spans="2:11" ht="12.75">
      <c r="B205" s="259" t="s">
        <v>308</v>
      </c>
      <c r="C205" s="260"/>
      <c r="D205" s="47" t="s">
        <v>601</v>
      </c>
      <c r="E205" s="259" t="s">
        <v>250</v>
      </c>
      <c r="F205" s="260"/>
      <c r="G205" s="259" t="s">
        <v>675</v>
      </c>
      <c r="H205" s="261"/>
      <c r="I205" s="260"/>
      <c r="J205" s="259" t="s">
        <v>766</v>
      </c>
      <c r="K205" s="260"/>
    </row>
    <row r="206" spans="2:11" ht="12.75">
      <c r="B206" s="259" t="s">
        <v>308</v>
      </c>
      <c r="C206" s="260"/>
      <c r="D206" s="47" t="s">
        <v>628</v>
      </c>
      <c r="E206" s="259" t="s">
        <v>250</v>
      </c>
      <c r="F206" s="260"/>
      <c r="G206" s="259" t="s">
        <v>493</v>
      </c>
      <c r="H206" s="261"/>
      <c r="I206" s="260"/>
      <c r="J206" s="259" t="s">
        <v>772</v>
      </c>
      <c r="K206" s="260"/>
    </row>
    <row r="207" spans="2:11" ht="12.75">
      <c r="B207" s="259" t="s">
        <v>234</v>
      </c>
      <c r="C207" s="260"/>
      <c r="D207" s="47" t="s">
        <v>752</v>
      </c>
      <c r="E207" s="259" t="s">
        <v>250</v>
      </c>
      <c r="F207" s="260"/>
      <c r="G207" s="259" t="s">
        <v>728</v>
      </c>
      <c r="H207" s="261"/>
      <c r="I207" s="260"/>
      <c r="J207" s="259" t="s">
        <v>786</v>
      </c>
      <c r="K207" s="260"/>
    </row>
    <row r="208" spans="2:11" ht="12.75">
      <c r="B208" s="259" t="s">
        <v>244</v>
      </c>
      <c r="C208" s="260"/>
      <c r="D208" s="47" t="s">
        <v>787</v>
      </c>
      <c r="E208" s="259" t="s">
        <v>241</v>
      </c>
      <c r="F208" s="260"/>
      <c r="G208" s="259" t="s">
        <v>788</v>
      </c>
      <c r="H208" s="261"/>
      <c r="I208" s="260"/>
      <c r="J208" s="259" t="s">
        <v>789</v>
      </c>
      <c r="K208" s="260"/>
    </row>
    <row r="209" spans="2:11" ht="12.75">
      <c r="B209" s="259" t="s">
        <v>308</v>
      </c>
      <c r="C209" s="260"/>
      <c r="D209" s="47" t="s">
        <v>728</v>
      </c>
      <c r="E209" s="259" t="s">
        <v>250</v>
      </c>
      <c r="F209" s="260"/>
      <c r="G209" s="259" t="s">
        <v>752</v>
      </c>
      <c r="H209" s="261"/>
      <c r="I209" s="260"/>
      <c r="J209" s="259" t="s">
        <v>794</v>
      </c>
      <c r="K209" s="260"/>
    </row>
    <row r="210" spans="2:11" ht="12.75">
      <c r="B210" s="259" t="s">
        <v>234</v>
      </c>
      <c r="C210" s="260"/>
      <c r="D210" s="47" t="s">
        <v>797</v>
      </c>
      <c r="E210" s="259" t="s">
        <v>250</v>
      </c>
      <c r="F210" s="260"/>
      <c r="G210" s="259" t="s">
        <v>788</v>
      </c>
      <c r="H210" s="261"/>
      <c r="I210" s="260"/>
      <c r="J210" s="259" t="s">
        <v>798</v>
      </c>
      <c r="K210" s="260"/>
    </row>
    <row r="211" spans="2:11" ht="12.75">
      <c r="B211" s="259" t="s">
        <v>234</v>
      </c>
      <c r="C211" s="260"/>
      <c r="D211" s="47" t="s">
        <v>493</v>
      </c>
      <c r="E211" s="259" t="s">
        <v>250</v>
      </c>
      <c r="F211" s="260"/>
      <c r="G211" s="259" t="s">
        <v>828</v>
      </c>
      <c r="H211" s="261"/>
      <c r="I211" s="260"/>
      <c r="J211" s="259" t="s">
        <v>829</v>
      </c>
      <c r="K211" s="260"/>
    </row>
    <row r="212" spans="2:11" ht="12.75">
      <c r="B212" s="259" t="s">
        <v>234</v>
      </c>
      <c r="C212" s="260"/>
      <c r="D212" s="47" t="s">
        <v>835</v>
      </c>
      <c r="E212" s="259" t="s">
        <v>250</v>
      </c>
      <c r="F212" s="260"/>
      <c r="G212" s="259" t="s">
        <v>628</v>
      </c>
      <c r="H212" s="261"/>
      <c r="I212" s="260"/>
      <c r="J212" s="259" t="s">
        <v>836</v>
      </c>
      <c r="K212" s="260"/>
    </row>
    <row r="213" spans="2:11" ht="12.75">
      <c r="B213" s="259" t="s">
        <v>244</v>
      </c>
      <c r="C213" s="260"/>
      <c r="D213" s="47" t="s">
        <v>837</v>
      </c>
      <c r="E213" s="259" t="s">
        <v>250</v>
      </c>
      <c r="F213" s="260"/>
      <c r="G213" s="259" t="s">
        <v>838</v>
      </c>
      <c r="H213" s="261"/>
      <c r="I213" s="260"/>
      <c r="J213" s="259" t="s">
        <v>839</v>
      </c>
      <c r="K213" s="260"/>
    </row>
    <row r="214" spans="2:11" ht="12.75">
      <c r="B214" s="259" t="s">
        <v>77</v>
      </c>
      <c r="C214" s="260"/>
      <c r="D214" s="47" t="s">
        <v>788</v>
      </c>
      <c r="E214" s="259" t="s">
        <v>250</v>
      </c>
      <c r="F214" s="260"/>
      <c r="G214" s="259" t="s">
        <v>841</v>
      </c>
      <c r="H214" s="261"/>
      <c r="I214" s="260"/>
      <c r="J214" s="259" t="s">
        <v>842</v>
      </c>
      <c r="K214" s="260"/>
    </row>
    <row r="215" spans="2:11" ht="25.5">
      <c r="B215" s="259" t="s">
        <v>185</v>
      </c>
      <c r="C215" s="260"/>
      <c r="D215" s="151" t="s">
        <v>851</v>
      </c>
      <c r="E215" s="259" t="s">
        <v>216</v>
      </c>
      <c r="F215" s="260"/>
      <c r="G215" s="262" t="s">
        <v>852</v>
      </c>
      <c r="H215" s="261"/>
      <c r="I215" s="260"/>
      <c r="J215" s="259" t="s">
        <v>848</v>
      </c>
      <c r="K215" s="260"/>
    </row>
    <row r="216" spans="2:11" ht="12.75">
      <c r="B216" s="259" t="s">
        <v>234</v>
      </c>
      <c r="C216" s="260"/>
      <c r="D216" s="47" t="s">
        <v>752</v>
      </c>
      <c r="E216" s="259" t="s">
        <v>250</v>
      </c>
      <c r="F216" s="260"/>
      <c r="G216" s="259" t="s">
        <v>838</v>
      </c>
      <c r="H216" s="261"/>
      <c r="I216" s="260"/>
      <c r="J216" s="259" t="s">
        <v>853</v>
      </c>
      <c r="K216" s="260"/>
    </row>
    <row r="217" spans="2:11" ht="12.75">
      <c r="B217" s="259" t="s">
        <v>308</v>
      </c>
      <c r="C217" s="260"/>
      <c r="D217" s="151" t="s">
        <v>854</v>
      </c>
      <c r="E217" s="259" t="s">
        <v>250</v>
      </c>
      <c r="F217" s="260"/>
      <c r="G217" s="262" t="s">
        <v>590</v>
      </c>
      <c r="H217" s="261"/>
      <c r="I217" s="260"/>
      <c r="J217" s="259" t="s">
        <v>853</v>
      </c>
      <c r="K217" s="260"/>
    </row>
    <row r="218" spans="2:11" ht="12.75">
      <c r="B218" s="259" t="s">
        <v>308</v>
      </c>
      <c r="C218" s="260"/>
      <c r="D218" s="47" t="s">
        <v>320</v>
      </c>
      <c r="E218" s="259" t="s">
        <v>250</v>
      </c>
      <c r="F218" s="260"/>
      <c r="G218" s="259" t="s">
        <v>493</v>
      </c>
      <c r="H218" s="261"/>
      <c r="I218" s="260"/>
      <c r="J218" s="259" t="s">
        <v>865</v>
      </c>
      <c r="K218" s="260"/>
    </row>
    <row r="219" spans="2:11" ht="12.75">
      <c r="B219" s="259" t="s">
        <v>234</v>
      </c>
      <c r="C219" s="260"/>
      <c r="D219" s="47" t="s">
        <v>838</v>
      </c>
      <c r="E219" s="259" t="s">
        <v>250</v>
      </c>
      <c r="F219" s="260"/>
      <c r="G219" s="259" t="s">
        <v>854</v>
      </c>
      <c r="H219" s="261"/>
      <c r="I219" s="260"/>
      <c r="J219" s="259" t="s">
        <v>872</v>
      </c>
      <c r="K219" s="260"/>
    </row>
    <row r="220" spans="2:11" ht="12.75">
      <c r="B220" s="259" t="s">
        <v>308</v>
      </c>
      <c r="C220" s="260"/>
      <c r="D220" s="47" t="s">
        <v>299</v>
      </c>
      <c r="E220" s="259" t="s">
        <v>250</v>
      </c>
      <c r="F220" s="260"/>
      <c r="G220" s="259" t="s">
        <v>835</v>
      </c>
      <c r="H220" s="261"/>
      <c r="I220" s="260"/>
      <c r="J220" s="259" t="s">
        <v>921</v>
      </c>
      <c r="K220" s="260"/>
    </row>
    <row r="221" spans="2:11" ht="12.75">
      <c r="B221" s="259" t="s">
        <v>77</v>
      </c>
      <c r="C221" s="260"/>
      <c r="D221" s="47" t="s">
        <v>928</v>
      </c>
      <c r="E221" s="259" t="s">
        <v>250</v>
      </c>
      <c r="F221" s="260"/>
      <c r="G221" s="259" t="s">
        <v>728</v>
      </c>
      <c r="H221" s="261"/>
      <c r="I221" s="260"/>
      <c r="J221" s="259" t="s">
        <v>929</v>
      </c>
      <c r="K221" s="260"/>
    </row>
    <row r="222" spans="2:11" ht="12.75">
      <c r="B222" s="259" t="s">
        <v>288</v>
      </c>
      <c r="C222" s="260"/>
      <c r="D222" s="47" t="s">
        <v>302</v>
      </c>
      <c r="E222" s="259" t="s">
        <v>250</v>
      </c>
      <c r="F222" s="260"/>
      <c r="G222" s="259" t="s">
        <v>690</v>
      </c>
      <c r="H222" s="261"/>
      <c r="I222" s="260"/>
      <c r="J222" s="259" t="s">
        <v>941</v>
      </c>
      <c r="K222" s="260"/>
    </row>
    <row r="223" spans="2:11" ht="12.75">
      <c r="B223" s="259" t="s">
        <v>185</v>
      </c>
      <c r="C223" s="260"/>
      <c r="D223" s="47" t="s">
        <v>452</v>
      </c>
      <c r="E223" s="259" t="s">
        <v>232</v>
      </c>
      <c r="F223" s="260"/>
      <c r="G223" s="259" t="s">
        <v>355</v>
      </c>
      <c r="H223" s="261"/>
      <c r="I223" s="260"/>
      <c r="J223" s="259" t="s">
        <v>944</v>
      </c>
      <c r="K223" s="260"/>
    </row>
    <row r="224" spans="2:11" ht="12.75">
      <c r="B224" s="259" t="s">
        <v>234</v>
      </c>
      <c r="C224" s="260"/>
      <c r="D224" s="47" t="s">
        <v>992</v>
      </c>
      <c r="E224" s="259" t="s">
        <v>250</v>
      </c>
      <c r="F224" s="260"/>
      <c r="G224" s="259" t="s">
        <v>993</v>
      </c>
      <c r="H224" s="261"/>
      <c r="I224" s="260"/>
      <c r="J224" s="259" t="s">
        <v>994</v>
      </c>
      <c r="K224" s="260"/>
    </row>
    <row r="225" spans="2:11" ht="12.75">
      <c r="B225" s="259" t="s">
        <v>308</v>
      </c>
      <c r="C225" s="260"/>
      <c r="D225" s="47" t="s">
        <v>993</v>
      </c>
      <c r="E225" s="259" t="s">
        <v>250</v>
      </c>
      <c r="F225" s="260"/>
      <c r="G225" s="259" t="s">
        <v>752</v>
      </c>
      <c r="H225" s="261"/>
      <c r="I225" s="260"/>
      <c r="J225" s="259" t="s">
        <v>995</v>
      </c>
      <c r="K225" s="260"/>
    </row>
    <row r="226" spans="2:11" ht="12.75">
      <c r="B226" s="259" t="s">
        <v>234</v>
      </c>
      <c r="C226" s="260"/>
      <c r="D226" s="47" t="s">
        <v>197</v>
      </c>
      <c r="E226" s="259" t="s">
        <v>250</v>
      </c>
      <c r="F226" s="260"/>
      <c r="G226" s="259" t="s">
        <v>665</v>
      </c>
      <c r="H226" s="261"/>
      <c r="I226" s="260"/>
      <c r="J226" s="259" t="s">
        <v>1088</v>
      </c>
      <c r="K226" s="260"/>
    </row>
    <row r="227" spans="2:11" ht="51">
      <c r="B227" s="259" t="s">
        <v>185</v>
      </c>
      <c r="C227" s="260"/>
      <c r="D227" s="151" t="s">
        <v>1098</v>
      </c>
      <c r="E227" s="259" t="s">
        <v>192</v>
      </c>
      <c r="F227" s="260"/>
      <c r="G227" s="262" t="s">
        <v>1099</v>
      </c>
      <c r="H227" s="261"/>
      <c r="I227" s="260"/>
      <c r="J227" s="259" t="s">
        <v>1095</v>
      </c>
      <c r="K227" s="260"/>
    </row>
    <row r="228" spans="2:11" ht="38.25">
      <c r="B228" s="259" t="s">
        <v>185</v>
      </c>
      <c r="C228" s="260"/>
      <c r="D228" s="151" t="s">
        <v>1109</v>
      </c>
      <c r="E228" s="259" t="s">
        <v>232</v>
      </c>
      <c r="F228" s="260"/>
      <c r="G228" s="262" t="s">
        <v>1111</v>
      </c>
      <c r="H228" s="261"/>
      <c r="I228" s="260"/>
      <c r="J228" s="259" t="s">
        <v>1110</v>
      </c>
      <c r="K228" s="260"/>
    </row>
    <row r="229" spans="2:11" ht="12.75">
      <c r="B229" s="259"/>
      <c r="C229" s="260"/>
      <c r="D229" s="47"/>
      <c r="E229" s="259"/>
      <c r="F229" s="260"/>
      <c r="G229" s="259"/>
      <c r="H229" s="261"/>
      <c r="I229" s="260"/>
      <c r="J229" s="259"/>
      <c r="K229" s="260"/>
    </row>
    <row r="230" spans="2:11" ht="12.75">
      <c r="B230" s="259"/>
      <c r="C230" s="260"/>
      <c r="D230" s="47"/>
      <c r="E230" s="259"/>
      <c r="F230" s="260"/>
      <c r="G230" s="259"/>
      <c r="H230" s="261"/>
      <c r="I230" s="260"/>
      <c r="J230" s="259"/>
      <c r="K230" s="260"/>
    </row>
    <row r="231" spans="2:11" ht="12.75">
      <c r="B231" s="259"/>
      <c r="C231" s="260"/>
      <c r="D231" s="47"/>
      <c r="E231" s="259"/>
      <c r="F231" s="260"/>
      <c r="G231" s="259"/>
      <c r="H231" s="261"/>
      <c r="I231" s="260"/>
      <c r="J231" s="259"/>
      <c r="K231" s="260"/>
    </row>
    <row r="232" spans="2:11" ht="12.75">
      <c r="B232" s="259"/>
      <c r="C232" s="260"/>
      <c r="D232" s="47"/>
      <c r="E232" s="259"/>
      <c r="F232" s="260"/>
      <c r="G232" s="259"/>
      <c r="H232" s="261"/>
      <c r="I232" s="260"/>
      <c r="J232" s="259"/>
      <c r="K232" s="260"/>
    </row>
    <row r="233" spans="2:11" ht="12.75">
      <c r="B233" s="259"/>
      <c r="C233" s="260"/>
      <c r="D233" s="47"/>
      <c r="E233" s="259"/>
      <c r="F233" s="260"/>
      <c r="G233" s="259"/>
      <c r="H233" s="261"/>
      <c r="I233" s="260"/>
      <c r="J233" s="259"/>
      <c r="K233" s="260"/>
    </row>
    <row r="234" spans="2:11" ht="12.75">
      <c r="B234" s="259"/>
      <c r="C234" s="260"/>
      <c r="D234" s="47"/>
      <c r="E234" s="259"/>
      <c r="F234" s="260"/>
      <c r="G234" s="259"/>
      <c r="H234" s="261"/>
      <c r="I234" s="260"/>
      <c r="J234" s="259"/>
      <c r="K234" s="260"/>
    </row>
    <row r="235" spans="2:11" ht="12.75">
      <c r="B235" s="259"/>
      <c r="C235" s="260"/>
      <c r="D235" s="47"/>
      <c r="E235" s="259"/>
      <c r="F235" s="260"/>
      <c r="G235" s="259"/>
      <c r="H235" s="261"/>
      <c r="I235" s="260"/>
      <c r="J235" s="259"/>
      <c r="K235" s="260"/>
    </row>
    <row r="236" spans="2:11" ht="12.75">
      <c r="B236" s="259"/>
      <c r="C236" s="260"/>
      <c r="D236" s="47"/>
      <c r="E236" s="259"/>
      <c r="F236" s="260"/>
      <c r="G236" s="259"/>
      <c r="H236" s="261"/>
      <c r="I236" s="260"/>
      <c r="J236" s="259"/>
      <c r="K236" s="260"/>
    </row>
    <row r="237" spans="2:11" ht="12.75">
      <c r="B237" s="259"/>
      <c r="C237" s="260"/>
      <c r="D237" s="47"/>
      <c r="E237" s="259"/>
      <c r="F237" s="260"/>
      <c r="G237" s="259"/>
      <c r="H237" s="261"/>
      <c r="I237" s="260"/>
      <c r="J237" s="259"/>
      <c r="K237" s="260"/>
    </row>
    <row r="238" spans="2:11" ht="12.75">
      <c r="B238" s="259"/>
      <c r="C238" s="260"/>
      <c r="D238" s="47"/>
      <c r="E238" s="259"/>
      <c r="F238" s="260"/>
      <c r="G238" s="259"/>
      <c r="H238" s="261"/>
      <c r="I238" s="260"/>
      <c r="J238" s="259"/>
      <c r="K238" s="260"/>
    </row>
    <row r="239" spans="2:11" ht="12.75">
      <c r="B239" s="259"/>
      <c r="C239" s="260"/>
      <c r="D239" s="47"/>
      <c r="E239" s="259"/>
      <c r="F239" s="260"/>
      <c r="G239" s="259"/>
      <c r="H239" s="261"/>
      <c r="I239" s="260"/>
      <c r="J239" s="259"/>
      <c r="K239" s="260"/>
    </row>
    <row r="240" spans="2:11" ht="12.75">
      <c r="B240" s="259"/>
      <c r="C240" s="260"/>
      <c r="D240" s="47"/>
      <c r="E240" s="259"/>
      <c r="F240" s="260"/>
      <c r="G240" s="259"/>
      <c r="H240" s="261"/>
      <c r="I240" s="260"/>
      <c r="J240" s="259"/>
      <c r="K240" s="260"/>
    </row>
    <row r="241" spans="2:11" ht="12.75">
      <c r="B241" s="259"/>
      <c r="C241" s="260"/>
      <c r="D241" s="47"/>
      <c r="E241" s="259"/>
      <c r="F241" s="260"/>
      <c r="G241" s="259"/>
      <c r="H241" s="261"/>
      <c r="I241" s="260"/>
      <c r="J241" s="259"/>
      <c r="K241" s="260"/>
    </row>
    <row r="242" spans="2:11" ht="12.75">
      <c r="B242" s="338"/>
      <c r="C242" s="339"/>
      <c r="D242" s="141"/>
      <c r="E242" s="338"/>
      <c r="F242" s="339"/>
      <c r="G242" s="338"/>
      <c r="H242" s="340"/>
      <c r="I242" s="339"/>
      <c r="J242" s="338"/>
      <c r="K242" s="339"/>
    </row>
    <row r="243" spans="2:11" ht="12.75">
      <c r="B243" s="259"/>
      <c r="C243" s="260"/>
      <c r="D243" s="47"/>
      <c r="E243" s="259"/>
      <c r="F243" s="260"/>
      <c r="G243" s="259"/>
      <c r="H243" s="261"/>
      <c r="I243" s="260"/>
      <c r="J243" s="259"/>
      <c r="K243" s="260"/>
    </row>
    <row r="244" spans="2:11" ht="12.75">
      <c r="B244" s="259"/>
      <c r="C244" s="260"/>
      <c r="D244" s="47"/>
      <c r="E244" s="259"/>
      <c r="F244" s="260"/>
      <c r="G244" s="259"/>
      <c r="H244" s="261"/>
      <c r="I244" s="260"/>
      <c r="J244" s="259"/>
      <c r="K244" s="260"/>
    </row>
    <row r="245" spans="2:11" ht="12.75">
      <c r="B245" s="259"/>
      <c r="C245" s="260"/>
      <c r="D245" s="47"/>
      <c r="E245" s="259"/>
      <c r="F245" s="260"/>
      <c r="G245" s="259"/>
      <c r="H245" s="261"/>
      <c r="I245" s="260"/>
      <c r="J245" s="259"/>
      <c r="K245" s="260"/>
    </row>
    <row r="246" spans="2:11" ht="12.75">
      <c r="B246" s="259"/>
      <c r="C246" s="260"/>
      <c r="D246" s="47"/>
      <c r="E246" s="259"/>
      <c r="F246" s="260"/>
      <c r="G246" s="259"/>
      <c r="H246" s="261"/>
      <c r="I246" s="260"/>
      <c r="J246" s="259"/>
      <c r="K246" s="260"/>
    </row>
    <row r="247" spans="2:11" ht="12.75">
      <c r="B247" s="259"/>
      <c r="C247" s="260"/>
      <c r="D247" s="47"/>
      <c r="E247" s="259"/>
      <c r="F247" s="260"/>
      <c r="G247" s="259"/>
      <c r="H247" s="261"/>
      <c r="I247" s="260"/>
      <c r="J247" s="259"/>
      <c r="K247" s="260"/>
    </row>
    <row r="248" spans="2:11" ht="12.75">
      <c r="B248" s="259"/>
      <c r="C248" s="260"/>
      <c r="D248" s="47"/>
      <c r="E248" s="259"/>
      <c r="F248" s="260"/>
      <c r="G248" s="259"/>
      <c r="H248" s="261"/>
      <c r="I248" s="260"/>
      <c r="J248" s="259"/>
      <c r="K248" s="260"/>
    </row>
    <row r="249" spans="2:11" ht="12.75">
      <c r="B249" s="259"/>
      <c r="C249" s="260"/>
      <c r="D249" s="47"/>
      <c r="E249" s="259"/>
      <c r="F249" s="260"/>
      <c r="G249" s="259"/>
      <c r="H249" s="261"/>
      <c r="I249" s="260"/>
      <c r="J249" s="259"/>
      <c r="K249" s="260"/>
    </row>
    <row r="250" spans="2:11" ht="12.75">
      <c r="B250" s="259"/>
      <c r="C250" s="260"/>
      <c r="D250" s="47"/>
      <c r="E250" s="259"/>
      <c r="F250" s="260"/>
      <c r="G250" s="259"/>
      <c r="H250" s="261"/>
      <c r="I250" s="260"/>
      <c r="J250" s="259"/>
      <c r="K250" s="260"/>
    </row>
    <row r="251" spans="2:11" ht="12.75">
      <c r="B251" s="259"/>
      <c r="C251" s="260"/>
      <c r="D251" s="47"/>
      <c r="E251" s="259"/>
      <c r="F251" s="260"/>
      <c r="G251" s="259"/>
      <c r="H251" s="261"/>
      <c r="I251" s="260"/>
      <c r="J251" s="259"/>
      <c r="K251" s="260"/>
    </row>
    <row r="252" spans="2:11" ht="12.75">
      <c r="B252" s="259"/>
      <c r="C252" s="260"/>
      <c r="D252" s="47"/>
      <c r="E252" s="259"/>
      <c r="F252" s="260"/>
      <c r="G252" s="259"/>
      <c r="H252" s="261"/>
      <c r="I252" s="260"/>
      <c r="J252" s="259"/>
      <c r="K252" s="260"/>
    </row>
    <row r="253" spans="2:11" ht="12.75">
      <c r="B253" s="259"/>
      <c r="C253" s="260"/>
      <c r="D253" s="47"/>
      <c r="E253" s="259"/>
      <c r="F253" s="260"/>
      <c r="G253" s="259"/>
      <c r="H253" s="261"/>
      <c r="I253" s="260"/>
      <c r="J253" s="259"/>
      <c r="K253" s="260"/>
    </row>
    <row r="254" spans="2:11" ht="12.75">
      <c r="B254" s="259"/>
      <c r="C254" s="260"/>
      <c r="D254" s="47"/>
      <c r="E254" s="259"/>
      <c r="F254" s="260"/>
      <c r="G254" s="259"/>
      <c r="H254" s="261"/>
      <c r="I254" s="260"/>
      <c r="J254" s="259"/>
      <c r="K254" s="260"/>
    </row>
    <row r="255" spans="2:11" ht="12.75">
      <c r="B255" s="259"/>
      <c r="C255" s="260"/>
      <c r="D255" s="47"/>
      <c r="E255" s="259"/>
      <c r="F255" s="260"/>
      <c r="G255" s="259"/>
      <c r="H255" s="261"/>
      <c r="I255" s="260"/>
      <c r="J255" s="259"/>
      <c r="K255" s="260"/>
    </row>
    <row r="256" spans="2:11" ht="12.75">
      <c r="B256" s="259"/>
      <c r="C256" s="260"/>
      <c r="D256" s="47"/>
      <c r="E256" s="259"/>
      <c r="F256" s="260"/>
      <c r="G256" s="259"/>
      <c r="H256" s="261"/>
      <c r="I256" s="260"/>
      <c r="J256" s="259"/>
      <c r="K256" s="260"/>
    </row>
    <row r="257" spans="2:11" ht="12.75">
      <c r="B257" s="259"/>
      <c r="C257" s="260"/>
      <c r="D257" s="47"/>
      <c r="E257" s="259"/>
      <c r="F257" s="260"/>
      <c r="G257" s="259"/>
      <c r="H257" s="261"/>
      <c r="I257" s="260"/>
      <c r="J257" s="259"/>
      <c r="K257" s="260"/>
    </row>
    <row r="258" spans="2:11" ht="12.75">
      <c r="B258" s="259"/>
      <c r="C258" s="260"/>
      <c r="D258" s="47"/>
      <c r="E258" s="259"/>
      <c r="F258" s="260"/>
      <c r="G258" s="259"/>
      <c r="H258" s="261"/>
      <c r="I258" s="260"/>
      <c r="J258" s="259"/>
      <c r="K258" s="260"/>
    </row>
    <row r="259" spans="2:11" ht="12.75">
      <c r="B259" s="259"/>
      <c r="C259" s="260"/>
      <c r="D259" s="47"/>
      <c r="E259" s="259"/>
      <c r="F259" s="260"/>
      <c r="G259" s="259"/>
      <c r="H259" s="261"/>
      <c r="I259" s="260"/>
      <c r="J259" s="259"/>
      <c r="K259" s="260"/>
    </row>
    <row r="260" spans="2:11" ht="12.75">
      <c r="B260" s="259"/>
      <c r="C260" s="260"/>
      <c r="D260" s="47"/>
      <c r="E260" s="259"/>
      <c r="F260" s="260"/>
      <c r="G260" s="259"/>
      <c r="H260" s="261"/>
      <c r="I260" s="260"/>
      <c r="J260" s="259"/>
      <c r="K260" s="260"/>
    </row>
    <row r="261" spans="2:11" ht="12.75">
      <c r="B261" s="259"/>
      <c r="C261" s="260"/>
      <c r="D261" s="47"/>
      <c r="E261" s="259"/>
      <c r="F261" s="260"/>
      <c r="G261" s="259"/>
      <c r="H261" s="261"/>
      <c r="I261" s="260"/>
      <c r="J261" s="259"/>
      <c r="K261" s="260"/>
    </row>
    <row r="262" spans="2:11" ht="12.75">
      <c r="B262" s="259"/>
      <c r="C262" s="260"/>
      <c r="D262" s="47"/>
      <c r="E262" s="259"/>
      <c r="F262" s="260"/>
      <c r="G262" s="259"/>
      <c r="H262" s="261"/>
      <c r="I262" s="260"/>
      <c r="J262" s="259"/>
      <c r="K262" s="260"/>
    </row>
  </sheetData>
  <mergeCells count="425">
    <mergeCell ref="W5:Y5"/>
    <mergeCell ref="W3:Y3"/>
    <mergeCell ref="W2:Y2"/>
    <mergeCell ref="W1:Y1"/>
    <mergeCell ref="W4:Y4"/>
    <mergeCell ref="Z35:AA35"/>
    <mergeCell ref="W40:AB40"/>
    <mergeCell ref="Z32:AA32"/>
    <mergeCell ref="Z33:AA33"/>
    <mergeCell ref="Z34:AA34"/>
    <mergeCell ref="X32:Y32"/>
    <mergeCell ref="X33:Y33"/>
    <mergeCell ref="X35:Y35"/>
    <mergeCell ref="X34:Y34"/>
    <mergeCell ref="W10:AB10"/>
    <mergeCell ref="X11:Y11"/>
    <mergeCell ref="X30:Y30"/>
    <mergeCell ref="X31:Y31"/>
    <mergeCell ref="Z11:AA11"/>
    <mergeCell ref="Z30:AA30"/>
    <mergeCell ref="Z31:AA31"/>
    <mergeCell ref="J251:K251"/>
    <mergeCell ref="G251:I251"/>
    <mergeCell ref="E251:F251"/>
    <mergeCell ref="B251:C251"/>
    <mergeCell ref="J252:K252"/>
    <mergeCell ref="G252:I252"/>
    <mergeCell ref="E252:F252"/>
    <mergeCell ref="B252:C252"/>
    <mergeCell ref="J253:K253"/>
    <mergeCell ref="G253:I253"/>
    <mergeCell ref="E253:F253"/>
    <mergeCell ref="B253:C253"/>
    <mergeCell ref="J254:K254"/>
    <mergeCell ref="G254:I254"/>
    <mergeCell ref="E254:F254"/>
    <mergeCell ref="B254:C254"/>
    <mergeCell ref="J255:K255"/>
    <mergeCell ref="G255:I255"/>
    <mergeCell ref="E255:F255"/>
    <mergeCell ref="B255:C255"/>
    <mergeCell ref="J256:K256"/>
    <mergeCell ref="G256:I256"/>
    <mergeCell ref="E256:F256"/>
    <mergeCell ref="B256:C256"/>
    <mergeCell ref="J257:K257"/>
    <mergeCell ref="G257:I257"/>
    <mergeCell ref="E257:F257"/>
    <mergeCell ref="B257:C257"/>
    <mergeCell ref="J247:K247"/>
    <mergeCell ref="G247:I247"/>
    <mergeCell ref="E247:F247"/>
    <mergeCell ref="B247:C247"/>
    <mergeCell ref="J248:K248"/>
    <mergeCell ref="G248:I248"/>
    <mergeCell ref="E248:F248"/>
    <mergeCell ref="B248:C248"/>
    <mergeCell ref="J249:K249"/>
    <mergeCell ref="G249:I249"/>
    <mergeCell ref="E249:F249"/>
    <mergeCell ref="B249:C249"/>
    <mergeCell ref="J250:K250"/>
    <mergeCell ref="G250:I250"/>
    <mergeCell ref="E250:F250"/>
    <mergeCell ref="B250:C250"/>
    <mergeCell ref="C13:D13"/>
    <mergeCell ref="C89:D89"/>
    <mergeCell ref="B218:C218"/>
    <mergeCell ref="E218:F218"/>
    <mergeCell ref="B216:C216"/>
    <mergeCell ref="E216:F216"/>
    <mergeCell ref="B214:C214"/>
    <mergeCell ref="E214:F214"/>
    <mergeCell ref="B212:C212"/>
    <mergeCell ref="E212:F212"/>
    <mergeCell ref="G218:I218"/>
    <mergeCell ref="J218:K218"/>
    <mergeCell ref="B217:C217"/>
    <mergeCell ref="E217:F217"/>
    <mergeCell ref="G217:I217"/>
    <mergeCell ref="J217:K217"/>
    <mergeCell ref="G216:I216"/>
    <mergeCell ref="J216:K216"/>
    <mergeCell ref="B215:C215"/>
    <mergeCell ref="E215:F215"/>
    <mergeCell ref="G215:I215"/>
    <mergeCell ref="J215:K215"/>
    <mergeCell ref="G214:I214"/>
    <mergeCell ref="J214:K214"/>
    <mergeCell ref="B213:C213"/>
    <mergeCell ref="E213:F213"/>
    <mergeCell ref="G213:I213"/>
    <mergeCell ref="J213:K213"/>
    <mergeCell ref="G212:I212"/>
    <mergeCell ref="J212:K212"/>
    <mergeCell ref="B211:C211"/>
    <mergeCell ref="E211:F211"/>
    <mergeCell ref="G211:I211"/>
    <mergeCell ref="J211:K211"/>
    <mergeCell ref="B210:C210"/>
    <mergeCell ref="E210:F210"/>
    <mergeCell ref="G210:I210"/>
    <mergeCell ref="J210:K210"/>
    <mergeCell ref="B209:C209"/>
    <mergeCell ref="E209:F209"/>
    <mergeCell ref="G209:I209"/>
    <mergeCell ref="J209:K209"/>
    <mergeCell ref="B208:C208"/>
    <mergeCell ref="E208:F208"/>
    <mergeCell ref="G208:I208"/>
    <mergeCell ref="J208:K208"/>
    <mergeCell ref="B207:C207"/>
    <mergeCell ref="E207:F207"/>
    <mergeCell ref="G207:I207"/>
    <mergeCell ref="J207:K207"/>
    <mergeCell ref="B206:C206"/>
    <mergeCell ref="E206:F206"/>
    <mergeCell ref="G206:I206"/>
    <mergeCell ref="J206:K206"/>
    <mergeCell ref="B205:C205"/>
    <mergeCell ref="E205:F205"/>
    <mergeCell ref="G205:I205"/>
    <mergeCell ref="J205:K205"/>
    <mergeCell ref="B204:C204"/>
    <mergeCell ref="E204:F204"/>
    <mergeCell ref="G204:I204"/>
    <mergeCell ref="J204:K204"/>
    <mergeCell ref="B203:C203"/>
    <mergeCell ref="E203:F203"/>
    <mergeCell ref="G203:I203"/>
    <mergeCell ref="J203:K203"/>
    <mergeCell ref="B202:C202"/>
    <mergeCell ref="E202:F202"/>
    <mergeCell ref="G202:I202"/>
    <mergeCell ref="J202:K202"/>
    <mergeCell ref="B201:C201"/>
    <mergeCell ref="E201:F201"/>
    <mergeCell ref="G201:I201"/>
    <mergeCell ref="J201:K201"/>
    <mergeCell ref="B200:C200"/>
    <mergeCell ref="E200:F200"/>
    <mergeCell ref="G200:I200"/>
    <mergeCell ref="J200:K200"/>
    <mergeCell ref="B199:C199"/>
    <mergeCell ref="E199:F199"/>
    <mergeCell ref="G199:I199"/>
    <mergeCell ref="J199:K199"/>
    <mergeCell ref="B198:C198"/>
    <mergeCell ref="E198:F198"/>
    <mergeCell ref="G198:I198"/>
    <mergeCell ref="J198:K198"/>
    <mergeCell ref="B197:C197"/>
    <mergeCell ref="J197:K197"/>
    <mergeCell ref="E197:F197"/>
    <mergeCell ref="G197:I197"/>
    <mergeCell ref="B196:C196"/>
    <mergeCell ref="E196:F196"/>
    <mergeCell ref="G196:I196"/>
    <mergeCell ref="J196:K196"/>
    <mergeCell ref="B195:C195"/>
    <mergeCell ref="E195:F195"/>
    <mergeCell ref="G195:I195"/>
    <mergeCell ref="J195:K195"/>
    <mergeCell ref="B194:C194"/>
    <mergeCell ref="E194:F194"/>
    <mergeCell ref="G194:I194"/>
    <mergeCell ref="J194:K194"/>
    <mergeCell ref="B193:C193"/>
    <mergeCell ref="E193:F193"/>
    <mergeCell ref="G193:I193"/>
    <mergeCell ref="J193:K193"/>
    <mergeCell ref="B191:C191"/>
    <mergeCell ref="B192:C192"/>
    <mergeCell ref="E192:F192"/>
    <mergeCell ref="G192:I192"/>
    <mergeCell ref="J192:K192"/>
    <mergeCell ref="E191:F191"/>
    <mergeCell ref="G191:I191"/>
    <mergeCell ref="J191:K191"/>
    <mergeCell ref="B189:C189"/>
    <mergeCell ref="J189:K189"/>
    <mergeCell ref="B190:C190"/>
    <mergeCell ref="J190:K190"/>
    <mergeCell ref="E189:F189"/>
    <mergeCell ref="G189:I189"/>
    <mergeCell ref="D190:I190"/>
    <mergeCell ref="B188:C188"/>
    <mergeCell ref="E188:F188"/>
    <mergeCell ref="G188:I188"/>
    <mergeCell ref="J188:K188"/>
    <mergeCell ref="B187:C187"/>
    <mergeCell ref="E187:F187"/>
    <mergeCell ref="G187:I187"/>
    <mergeCell ref="J187:K187"/>
    <mergeCell ref="B186:C186"/>
    <mergeCell ref="E186:F186"/>
    <mergeCell ref="G186:I186"/>
    <mergeCell ref="J186:K186"/>
    <mergeCell ref="B185:C185"/>
    <mergeCell ref="E185:F185"/>
    <mergeCell ref="G185:I185"/>
    <mergeCell ref="J185:K185"/>
    <mergeCell ref="B184:C184"/>
    <mergeCell ref="E184:F184"/>
    <mergeCell ref="G184:I184"/>
    <mergeCell ref="J184:K184"/>
    <mergeCell ref="B183:C183"/>
    <mergeCell ref="E183:F183"/>
    <mergeCell ref="G183:I183"/>
    <mergeCell ref="J183:K183"/>
    <mergeCell ref="B182:C182"/>
    <mergeCell ref="E182:F182"/>
    <mergeCell ref="G182:I182"/>
    <mergeCell ref="J182:K182"/>
    <mergeCell ref="B181:C181"/>
    <mergeCell ref="E181:F181"/>
    <mergeCell ref="G181:I181"/>
    <mergeCell ref="J181:K181"/>
    <mergeCell ref="B180:C180"/>
    <mergeCell ref="E180:F180"/>
    <mergeCell ref="G180:I180"/>
    <mergeCell ref="J180:K180"/>
    <mergeCell ref="B179:C179"/>
    <mergeCell ref="E179:F179"/>
    <mergeCell ref="G179:I179"/>
    <mergeCell ref="J179:K179"/>
    <mergeCell ref="B178:C178"/>
    <mergeCell ref="E178:F178"/>
    <mergeCell ref="G178:I178"/>
    <mergeCell ref="J178:K178"/>
    <mergeCell ref="B176:C176"/>
    <mergeCell ref="E176:F176"/>
    <mergeCell ref="G176:I176"/>
    <mergeCell ref="J176:K176"/>
    <mergeCell ref="B175:C175"/>
    <mergeCell ref="E175:F175"/>
    <mergeCell ref="G175:I175"/>
    <mergeCell ref="J175:K175"/>
    <mergeCell ref="B174:C174"/>
    <mergeCell ref="E174:F174"/>
    <mergeCell ref="G174:I174"/>
    <mergeCell ref="J174:K174"/>
    <mergeCell ref="B173:C173"/>
    <mergeCell ref="E173:F173"/>
    <mergeCell ref="G173:I173"/>
    <mergeCell ref="J173:K173"/>
    <mergeCell ref="B164:D164"/>
    <mergeCell ref="B171:K171"/>
    <mergeCell ref="B172:C172"/>
    <mergeCell ref="E172:F172"/>
    <mergeCell ref="G172:I172"/>
    <mergeCell ref="J172:K172"/>
    <mergeCell ref="B166:D166"/>
    <mergeCell ref="B131:D131"/>
    <mergeCell ref="B133:I133"/>
    <mergeCell ref="B145:D145"/>
    <mergeCell ref="B152:I152"/>
    <mergeCell ref="B147:K147"/>
    <mergeCell ref="B151:D151"/>
    <mergeCell ref="B85:K85"/>
    <mergeCell ref="B120:D120"/>
    <mergeCell ref="B76:D76"/>
    <mergeCell ref="B102:D102"/>
    <mergeCell ref="B104:I104"/>
    <mergeCell ref="C87:D87"/>
    <mergeCell ref="C88:D88"/>
    <mergeCell ref="C91:D91"/>
    <mergeCell ref="C90:D90"/>
    <mergeCell ref="B83:D83"/>
    <mergeCell ref="N20:R20"/>
    <mergeCell ref="B46:D46"/>
    <mergeCell ref="N30:R30"/>
    <mergeCell ref="B48:I48"/>
    <mergeCell ref="N43:S43"/>
    <mergeCell ref="B57:D57"/>
    <mergeCell ref="B59:I59"/>
    <mergeCell ref="B78:I78"/>
    <mergeCell ref="B6:K6"/>
    <mergeCell ref="C9:D9"/>
    <mergeCell ref="C11:D11"/>
    <mergeCell ref="C14:D14"/>
    <mergeCell ref="B16:K16"/>
    <mergeCell ref="B25:D25"/>
    <mergeCell ref="B27:I27"/>
    <mergeCell ref="N10:R10"/>
    <mergeCell ref="B219:C219"/>
    <mergeCell ref="E219:F219"/>
    <mergeCell ref="G219:I219"/>
    <mergeCell ref="J219:K219"/>
    <mergeCell ref="J177:K177"/>
    <mergeCell ref="C12:D12"/>
    <mergeCell ref="B177:C177"/>
    <mergeCell ref="E177:F177"/>
    <mergeCell ref="G177:I177"/>
    <mergeCell ref="B220:C220"/>
    <mergeCell ref="E220:F220"/>
    <mergeCell ref="G220:I220"/>
    <mergeCell ref="J220:K220"/>
    <mergeCell ref="B221:C221"/>
    <mergeCell ref="E221:F221"/>
    <mergeCell ref="G221:I221"/>
    <mergeCell ref="J221:K221"/>
    <mergeCell ref="B222:C222"/>
    <mergeCell ref="E222:F222"/>
    <mergeCell ref="G222:I222"/>
    <mergeCell ref="J222:K222"/>
    <mergeCell ref="B223:C223"/>
    <mergeCell ref="E223:F223"/>
    <mergeCell ref="G223:I223"/>
    <mergeCell ref="J223:K223"/>
    <mergeCell ref="B224:C224"/>
    <mergeCell ref="E224:F224"/>
    <mergeCell ref="G224:I224"/>
    <mergeCell ref="J224:K224"/>
    <mergeCell ref="B225:C225"/>
    <mergeCell ref="E225:F225"/>
    <mergeCell ref="G225:I225"/>
    <mergeCell ref="J225:K225"/>
    <mergeCell ref="B226:C226"/>
    <mergeCell ref="E226:F226"/>
    <mergeCell ref="G226:I226"/>
    <mergeCell ref="J226:K226"/>
    <mergeCell ref="B227:C227"/>
    <mergeCell ref="E227:F227"/>
    <mergeCell ref="G227:I227"/>
    <mergeCell ref="J227:K227"/>
    <mergeCell ref="B228:C228"/>
    <mergeCell ref="E228:F228"/>
    <mergeCell ref="G228:I228"/>
    <mergeCell ref="J228:K228"/>
    <mergeCell ref="B229:C229"/>
    <mergeCell ref="E229:F229"/>
    <mergeCell ref="G229:I229"/>
    <mergeCell ref="J229:K229"/>
    <mergeCell ref="B230:C230"/>
    <mergeCell ref="E230:F230"/>
    <mergeCell ref="G230:I230"/>
    <mergeCell ref="J230:K230"/>
    <mergeCell ref="B231:C231"/>
    <mergeCell ref="E231:F231"/>
    <mergeCell ref="G231:I231"/>
    <mergeCell ref="J231:K231"/>
    <mergeCell ref="B232:C232"/>
    <mergeCell ref="E232:F232"/>
    <mergeCell ref="G232:I232"/>
    <mergeCell ref="J232:K232"/>
    <mergeCell ref="B233:C233"/>
    <mergeCell ref="E233:F233"/>
    <mergeCell ref="G233:I233"/>
    <mergeCell ref="J233:K233"/>
    <mergeCell ref="B234:C234"/>
    <mergeCell ref="E234:F234"/>
    <mergeCell ref="G234:I234"/>
    <mergeCell ref="J234:K234"/>
    <mergeCell ref="B235:C235"/>
    <mergeCell ref="E235:F235"/>
    <mergeCell ref="G235:I235"/>
    <mergeCell ref="J235:K235"/>
    <mergeCell ref="B236:C236"/>
    <mergeCell ref="E236:F236"/>
    <mergeCell ref="G236:I236"/>
    <mergeCell ref="J236:K236"/>
    <mergeCell ref="B237:C237"/>
    <mergeCell ref="E237:F237"/>
    <mergeCell ref="G237:I237"/>
    <mergeCell ref="J237:K237"/>
    <mergeCell ref="B238:C238"/>
    <mergeCell ref="E238:F238"/>
    <mergeCell ref="G238:I238"/>
    <mergeCell ref="J238:K238"/>
    <mergeCell ref="B239:C239"/>
    <mergeCell ref="E239:F239"/>
    <mergeCell ref="G239:I239"/>
    <mergeCell ref="J239:K239"/>
    <mergeCell ref="B240:C240"/>
    <mergeCell ref="E240:F240"/>
    <mergeCell ref="G240:I240"/>
    <mergeCell ref="J240:K240"/>
    <mergeCell ref="B241:C241"/>
    <mergeCell ref="E241:F241"/>
    <mergeCell ref="G241:I241"/>
    <mergeCell ref="J241:K241"/>
    <mergeCell ref="B242:C242"/>
    <mergeCell ref="E242:F242"/>
    <mergeCell ref="G242:I242"/>
    <mergeCell ref="J242:K242"/>
    <mergeCell ref="B243:C243"/>
    <mergeCell ref="E243:F243"/>
    <mergeCell ref="G243:I243"/>
    <mergeCell ref="J243:K243"/>
    <mergeCell ref="B244:C244"/>
    <mergeCell ref="E244:F244"/>
    <mergeCell ref="G244:I244"/>
    <mergeCell ref="J244:K244"/>
    <mergeCell ref="B245:C245"/>
    <mergeCell ref="E245:F245"/>
    <mergeCell ref="G245:I245"/>
    <mergeCell ref="J245:K245"/>
    <mergeCell ref="B246:C246"/>
    <mergeCell ref="E246:F246"/>
    <mergeCell ref="G246:I246"/>
    <mergeCell ref="J246:K246"/>
    <mergeCell ref="B258:C258"/>
    <mergeCell ref="E258:F258"/>
    <mergeCell ref="G258:I258"/>
    <mergeCell ref="J258:K258"/>
    <mergeCell ref="J262:K262"/>
    <mergeCell ref="E259:F259"/>
    <mergeCell ref="G259:I259"/>
    <mergeCell ref="J259:K259"/>
    <mergeCell ref="B259:C259"/>
    <mergeCell ref="B262:C262"/>
    <mergeCell ref="E262:F262"/>
    <mergeCell ref="G262:I262"/>
    <mergeCell ref="B260:C260"/>
    <mergeCell ref="C10:D10"/>
    <mergeCell ref="B122:I122"/>
    <mergeCell ref="B93:K93"/>
    <mergeCell ref="B261:C261"/>
    <mergeCell ref="E261:F261"/>
    <mergeCell ref="G261:I261"/>
    <mergeCell ref="J261:K261"/>
    <mergeCell ref="E260:F260"/>
    <mergeCell ref="G260:I260"/>
    <mergeCell ref="J260:K260"/>
  </mergeCells>
  <hyperlinks>
    <hyperlink ref="W4:Y4" location="EquipeL.P.C.H.xls#'Patrick L.'!A1" display="Stats saison en cours"/>
    <hyperlink ref="W2:Y2" r:id="rId1" display="Stats à vie"/>
    <hyperlink ref="W3:Y3" location="L.P.C.H.2007-08.xls#Individuel!A1" display="Classement Individuel"/>
  </hyperlinks>
  <printOptions/>
  <pageMargins left="0.75" right="0.75" top="1" bottom="1" header="0.4921259845" footer="0.4921259845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37"/>
  <sheetViews>
    <sheetView workbookViewId="0" topLeftCell="A1">
      <selection activeCell="B237" sqref="B237:C237"/>
    </sheetView>
  </sheetViews>
  <sheetFormatPr defaultColWidth="11.421875" defaultRowHeight="12.75"/>
  <cols>
    <col min="1" max="1" width="3.7109375" style="1" customWidth="1"/>
    <col min="2" max="2" width="4.421875" style="1" customWidth="1"/>
    <col min="3" max="3" width="7.140625" style="1" customWidth="1"/>
    <col min="4" max="4" width="19.8515625" style="1" customWidth="1"/>
    <col min="5" max="7" width="5.57421875" style="1" customWidth="1"/>
    <col min="8" max="8" width="5.7109375" style="1" customWidth="1"/>
    <col min="9" max="9" width="7.00390625" style="1" customWidth="1"/>
    <col min="10" max="10" width="5.421875" style="1" customWidth="1"/>
    <col min="11" max="11" width="7.7109375" style="1" customWidth="1"/>
    <col min="12" max="12" width="2.57421875" style="1" customWidth="1"/>
    <col min="13" max="13" width="2.421875" style="1" customWidth="1"/>
    <col min="14" max="14" width="15.00390625" style="1" customWidth="1"/>
    <col min="15" max="16" width="8.00390625" style="1" customWidth="1"/>
    <col min="17" max="17" width="7.7109375" style="1" customWidth="1"/>
    <col min="18" max="18" width="12.57421875" style="1" customWidth="1"/>
    <col min="19" max="19" width="11.421875" style="1" customWidth="1"/>
    <col min="20" max="20" width="2.28125" style="1" customWidth="1"/>
    <col min="21" max="21" width="1.7109375" style="1" customWidth="1"/>
    <col min="22" max="22" width="2.140625" style="1" customWidth="1"/>
    <col min="23" max="23" width="14.00390625" style="1" customWidth="1"/>
    <col min="24" max="24" width="6.140625" style="1" customWidth="1"/>
    <col min="25" max="27" width="7.28125" style="1" customWidth="1"/>
    <col min="28" max="28" width="13.57421875" style="1" customWidth="1"/>
    <col min="29" max="16384" width="11.421875" style="1" customWidth="1"/>
  </cols>
  <sheetData>
    <row r="1" spans="13:21" ht="12.75">
      <c r="M1" s="2"/>
      <c r="U1" s="161"/>
    </row>
    <row r="2" spans="13:21" ht="12.75">
      <c r="M2" s="2"/>
      <c r="U2" s="161"/>
    </row>
    <row r="3" spans="13:21" ht="12.75">
      <c r="M3" s="2"/>
      <c r="U3" s="161"/>
    </row>
    <row r="4" spans="13:21" ht="12.75">
      <c r="M4" s="2"/>
      <c r="U4" s="161"/>
    </row>
    <row r="5" spans="13:21" ht="12.75">
      <c r="M5" s="2"/>
      <c r="U5" s="161"/>
    </row>
    <row r="6" spans="2:21" ht="13.5">
      <c r="B6" s="270" t="s">
        <v>0</v>
      </c>
      <c r="C6" s="270"/>
      <c r="D6" s="270"/>
      <c r="E6" s="270"/>
      <c r="F6" s="270"/>
      <c r="G6" s="270"/>
      <c r="H6" s="270"/>
      <c r="I6" s="270"/>
      <c r="J6" s="270"/>
      <c r="K6" s="270"/>
      <c r="L6" s="3"/>
      <c r="M6" s="4"/>
      <c r="U6" s="161"/>
    </row>
    <row r="7" spans="2:21" ht="12.7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U7" s="161"/>
    </row>
    <row r="8" spans="2:21" ht="13.5" thickBo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/>
      <c r="U8" s="161"/>
    </row>
    <row r="9" spans="2:21" ht="15" customHeight="1" thickBot="1">
      <c r="B9" s="7"/>
      <c r="C9" s="271" t="s">
        <v>66</v>
      </c>
      <c r="D9" s="271"/>
      <c r="E9" s="9" t="s">
        <v>2</v>
      </c>
      <c r="F9" s="9" t="s">
        <v>3</v>
      </c>
      <c r="G9" s="9" t="s">
        <v>4</v>
      </c>
      <c r="H9" s="9" t="s">
        <v>5</v>
      </c>
      <c r="I9" s="10" t="s">
        <v>6</v>
      </c>
      <c r="J9" s="7"/>
      <c r="K9" s="7"/>
      <c r="L9" s="7"/>
      <c r="M9" s="8"/>
      <c r="U9" s="161"/>
    </row>
    <row r="10" spans="2:28" ht="15" customHeight="1" thickBot="1" thickTop="1">
      <c r="B10" s="7"/>
      <c r="C10" s="300" t="str">
        <f>'[1]Equipes-Pool'!$B$13</f>
        <v>Flyers De Philadelphie</v>
      </c>
      <c r="D10" s="301"/>
      <c r="E10" s="192">
        <v>12</v>
      </c>
      <c r="F10" s="193">
        <v>10</v>
      </c>
      <c r="G10" s="193">
        <v>32</v>
      </c>
      <c r="H10" s="193">
        <v>40</v>
      </c>
      <c r="I10" s="194">
        <f>F10+(G10-H10)</f>
        <v>2</v>
      </c>
      <c r="J10" s="7"/>
      <c r="K10" s="7"/>
      <c r="L10" s="7"/>
      <c r="M10" s="8"/>
      <c r="N10" s="265" t="s">
        <v>65</v>
      </c>
      <c r="O10" s="266"/>
      <c r="P10" s="266"/>
      <c r="Q10" s="266"/>
      <c r="R10" s="267"/>
      <c r="U10" s="161"/>
      <c r="W10" s="293" t="s">
        <v>195</v>
      </c>
      <c r="X10" s="294"/>
      <c r="Y10" s="294"/>
      <c r="Z10" s="294"/>
      <c r="AA10" s="294"/>
      <c r="AB10" s="295"/>
    </row>
    <row r="11" spans="2:28" ht="15" customHeight="1" thickBot="1">
      <c r="B11" s="7"/>
      <c r="C11" s="311" t="str">
        <f>'[1]Equipes-Pool'!$B$34</f>
        <v>Bruins de Boston</v>
      </c>
      <c r="D11" s="312"/>
      <c r="E11" s="40">
        <f>('[1]Equipes-Pool'!$C$34)-10</f>
        <v>59</v>
      </c>
      <c r="F11" s="40">
        <f>('[1]Equipes-Pool'!$D$34)-14</f>
        <v>83</v>
      </c>
      <c r="G11" s="40">
        <f>('[1]Equipes-Pool'!$E$34)-36</f>
        <v>195</v>
      </c>
      <c r="H11" s="40">
        <f>('[1]Equipes-Pool'!$F$34)-24</f>
        <v>136</v>
      </c>
      <c r="I11" s="33">
        <f>F11+(G11-H11)</f>
        <v>142</v>
      </c>
      <c r="J11" s="145"/>
      <c r="K11" s="7"/>
      <c r="L11" s="7"/>
      <c r="M11" s="8"/>
      <c r="N11" s="16" t="s">
        <v>8</v>
      </c>
      <c r="O11" s="17" t="s">
        <v>9</v>
      </c>
      <c r="P11" s="71" t="s">
        <v>10</v>
      </c>
      <c r="Q11" s="18" t="s">
        <v>11</v>
      </c>
      <c r="R11" s="19" t="s">
        <v>68</v>
      </c>
      <c r="U11" s="161"/>
      <c r="W11" s="152" t="s">
        <v>8</v>
      </c>
      <c r="X11" s="296" t="s">
        <v>83</v>
      </c>
      <c r="Y11" s="297"/>
      <c r="Z11" s="296" t="s">
        <v>196</v>
      </c>
      <c r="AA11" s="297"/>
      <c r="AB11" s="158" t="s">
        <v>159</v>
      </c>
    </row>
    <row r="12" spans="2:28" ht="14.25" thickTop="1">
      <c r="B12" s="7"/>
      <c r="C12" s="274" t="s">
        <v>7</v>
      </c>
      <c r="D12" s="275"/>
      <c r="E12" s="14">
        <f>SUM(E10:E11)</f>
        <v>71</v>
      </c>
      <c r="F12" s="14">
        <f>SUM(F10:F11)</f>
        <v>93</v>
      </c>
      <c r="G12" s="14">
        <f>SUM(G10:G11)</f>
        <v>227</v>
      </c>
      <c r="H12" s="14">
        <f>SUM(H10:H11)</f>
        <v>176</v>
      </c>
      <c r="I12" s="15">
        <f>F12+(G12-H12)</f>
        <v>144</v>
      </c>
      <c r="J12" s="7"/>
      <c r="K12" s="7"/>
      <c r="L12" s="7"/>
      <c r="M12" s="8"/>
      <c r="N12" s="20" t="s">
        <v>12</v>
      </c>
      <c r="O12" s="21">
        <f>E12</f>
        <v>71</v>
      </c>
      <c r="P12" s="72">
        <f>I12</f>
        <v>144</v>
      </c>
      <c r="Q12" s="23">
        <f aca="true" t="shared" si="0" ref="Q12:Q18">P12/O12</f>
        <v>2.028169014084507</v>
      </c>
      <c r="R12" s="22">
        <f>'[2]Individuel'!$D$19</f>
        <v>107.5</v>
      </c>
      <c r="U12" s="161"/>
      <c r="W12" s="155"/>
      <c r="X12" s="154" t="s">
        <v>143</v>
      </c>
      <c r="Y12" s="154" t="s">
        <v>157</v>
      </c>
      <c r="Z12" s="154" t="s">
        <v>143</v>
      </c>
      <c r="AA12" s="154" t="s">
        <v>157</v>
      </c>
      <c r="AB12" s="156"/>
    </row>
    <row r="13" spans="2:28" ht="1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25"/>
      <c r="N13" s="26" t="s">
        <v>14</v>
      </c>
      <c r="O13" s="27">
        <f>E20</f>
        <v>98</v>
      </c>
      <c r="P13" s="73">
        <f>K20</f>
        <v>140</v>
      </c>
      <c r="Q13" s="29">
        <f t="shared" si="0"/>
        <v>1.4285714285714286</v>
      </c>
      <c r="R13" s="28">
        <f>'[2]Individuel'!$I$19</f>
        <v>146.5</v>
      </c>
      <c r="U13" s="161"/>
      <c r="W13" s="153" t="s">
        <v>156</v>
      </c>
      <c r="X13" s="14" t="s">
        <v>147</v>
      </c>
      <c r="Y13" s="14">
        <v>1373</v>
      </c>
      <c r="Z13" s="14"/>
      <c r="AA13" s="14"/>
      <c r="AB13" s="139">
        <f>Y13+AA13</f>
        <v>1373</v>
      </c>
    </row>
    <row r="14" spans="2:28" ht="15" customHeight="1" thickBot="1">
      <c r="B14" s="254" t="s">
        <v>13</v>
      </c>
      <c r="C14" s="254"/>
      <c r="D14" s="254"/>
      <c r="E14" s="254"/>
      <c r="F14" s="254"/>
      <c r="G14" s="254"/>
      <c r="H14" s="254"/>
      <c r="I14" s="254"/>
      <c r="J14" s="254"/>
      <c r="K14" s="254"/>
      <c r="L14" s="24"/>
      <c r="M14" s="8"/>
      <c r="N14" s="26" t="s">
        <v>23</v>
      </c>
      <c r="O14" s="27">
        <f>E41</f>
        <v>544</v>
      </c>
      <c r="P14" s="73">
        <f>H41</f>
        <v>392</v>
      </c>
      <c r="Q14" s="29">
        <f t="shared" si="0"/>
        <v>0.7205882352941176</v>
      </c>
      <c r="R14" s="28">
        <f>'[2]Individuel'!$N$19</f>
        <v>391.4</v>
      </c>
      <c r="U14" s="161"/>
      <c r="W14" s="49" t="s">
        <v>105</v>
      </c>
      <c r="X14" s="43" t="s">
        <v>146</v>
      </c>
      <c r="Y14" s="43">
        <v>169</v>
      </c>
      <c r="Z14" s="14"/>
      <c r="AA14" s="14"/>
      <c r="AB14" s="139">
        <f aca="true" t="shared" si="1" ref="AB14:AB28">Y14+AA14</f>
        <v>169</v>
      </c>
    </row>
    <row r="15" spans="2:28" ht="15" customHeight="1" thickBot="1">
      <c r="B15" s="30" t="s">
        <v>15</v>
      </c>
      <c r="C15" s="30" t="s">
        <v>16</v>
      </c>
      <c r="D15" s="30" t="s">
        <v>17</v>
      </c>
      <c r="E15" s="31" t="s">
        <v>2</v>
      </c>
      <c r="F15" s="31" t="s">
        <v>18</v>
      </c>
      <c r="G15" s="31" t="s">
        <v>19</v>
      </c>
      <c r="H15" s="31" t="s">
        <v>20</v>
      </c>
      <c r="I15" s="31" t="s">
        <v>21</v>
      </c>
      <c r="J15" s="31" t="s">
        <v>22</v>
      </c>
      <c r="K15" s="32" t="s">
        <v>6</v>
      </c>
      <c r="L15" s="7"/>
      <c r="M15" s="8"/>
      <c r="N15" s="26" t="s">
        <v>24</v>
      </c>
      <c r="O15" s="27">
        <f>E55</f>
        <v>271</v>
      </c>
      <c r="P15" s="73">
        <f>H55</f>
        <v>224</v>
      </c>
      <c r="Q15" s="29">
        <f t="shared" si="0"/>
        <v>0.8265682656826568</v>
      </c>
      <c r="R15" s="28">
        <f>'[2]Individuel'!$D$33</f>
        <v>232.7</v>
      </c>
      <c r="U15" s="161"/>
      <c r="W15" s="49" t="s">
        <v>166</v>
      </c>
      <c r="X15" s="43" t="s">
        <v>149</v>
      </c>
      <c r="Y15" s="43">
        <v>107</v>
      </c>
      <c r="Z15" s="14"/>
      <c r="AA15" s="14"/>
      <c r="AB15" s="139">
        <f t="shared" si="1"/>
        <v>107</v>
      </c>
    </row>
    <row r="16" spans="2:28" ht="15" customHeight="1" thickTop="1">
      <c r="B16" s="219">
        <f>'[1]Pool-gardien'!$B$14</f>
        <v>31.0986301369863</v>
      </c>
      <c r="C16" s="219" t="str">
        <f>'[1]Pool-gardien'!$C$14</f>
        <v>Min</v>
      </c>
      <c r="D16" s="220" t="str">
        <f>'[1]Pool-gardien'!$D$14</f>
        <v>Niklas Backstrom</v>
      </c>
      <c r="E16" s="219">
        <f>'[1]Pool-gardien'!$E$14</f>
        <v>57</v>
      </c>
      <c r="F16" s="219">
        <f>'[1]Pool-gardien'!$F$14</f>
        <v>31</v>
      </c>
      <c r="G16" s="219">
        <f>'[1]Pool-gardien'!$G$14</f>
        <v>5</v>
      </c>
      <c r="H16" s="219">
        <f>'[1]Pool-gardien'!$H$14</f>
        <v>6</v>
      </c>
      <c r="I16" s="219">
        <f>'[1]Pool-gardien'!$I$14</f>
        <v>0</v>
      </c>
      <c r="J16" s="219">
        <f>'[1]Pool-gardien'!$J$14</f>
        <v>0</v>
      </c>
      <c r="K16" s="33">
        <f>(F16*2)+G16+(H16*4)+(I16*10)+J16</f>
        <v>91</v>
      </c>
      <c r="L16" s="7"/>
      <c r="M16" s="8"/>
      <c r="N16" s="26" t="s">
        <v>25</v>
      </c>
      <c r="O16" s="27">
        <f>E69</f>
        <v>402</v>
      </c>
      <c r="P16" s="73">
        <f>H69</f>
        <v>228</v>
      </c>
      <c r="Q16" s="29">
        <f t="shared" si="0"/>
        <v>0.5671641791044776</v>
      </c>
      <c r="R16" s="28">
        <f>'[2]Individuel'!$I$33</f>
        <v>193.3</v>
      </c>
      <c r="U16" s="161"/>
      <c r="W16" s="49" t="s">
        <v>14</v>
      </c>
      <c r="X16" s="43" t="s">
        <v>150</v>
      </c>
      <c r="Y16" s="43">
        <v>175</v>
      </c>
      <c r="Z16" s="14"/>
      <c r="AA16" s="14"/>
      <c r="AB16" s="139">
        <f t="shared" si="1"/>
        <v>175</v>
      </c>
    </row>
    <row r="17" spans="2:28" ht="15" customHeight="1" thickBot="1">
      <c r="B17" s="106">
        <f>'[1]Pool-gardien'!$B$19</f>
        <v>33.605479452054794</v>
      </c>
      <c r="C17" s="106" t="str">
        <f>'[1]Pool-gardien'!$C$19</f>
        <v>Dal</v>
      </c>
      <c r="D17" s="126" t="str">
        <f>'[1]Pool-gardien'!$D$19</f>
        <v>Marty Turco</v>
      </c>
      <c r="E17" s="107">
        <f>('[1]Pool-gardien'!$E$19)-52</f>
        <v>12</v>
      </c>
      <c r="F17" s="107">
        <f>('[1]Pool-gardien'!$F$19)-26</f>
        <v>5</v>
      </c>
      <c r="G17" s="107">
        <f>('[1]Pool-gardien'!$G$19)-7</f>
        <v>1</v>
      </c>
      <c r="H17" s="107">
        <f>('[1]Pool-gardien'!$H$19)-2</f>
        <v>0</v>
      </c>
      <c r="I17" s="107">
        <f>('[1]Pool-gardien'!$I$19)-0</f>
        <v>0</v>
      </c>
      <c r="J17" s="107">
        <f>('[1]Pool-gardien'!$J$19)-4</f>
        <v>1</v>
      </c>
      <c r="K17" s="33">
        <f>(F17*2)+G17+(H17*4)+(I17*10)+J17</f>
        <v>12</v>
      </c>
      <c r="L17" s="7"/>
      <c r="M17" s="8"/>
      <c r="N17" s="38" t="s">
        <v>27</v>
      </c>
      <c r="O17" s="117">
        <f>E83</f>
        <v>100</v>
      </c>
      <c r="P17" s="74">
        <f>H83</f>
        <v>157</v>
      </c>
      <c r="Q17" s="41">
        <f t="shared" si="0"/>
        <v>1.57</v>
      </c>
      <c r="R17" s="40">
        <f>'[2]Individuel'!$N$33</f>
        <v>63.8</v>
      </c>
      <c r="U17" s="161"/>
      <c r="W17" s="49" t="s">
        <v>84</v>
      </c>
      <c r="X17" s="43" t="s">
        <v>149</v>
      </c>
      <c r="Y17" s="43">
        <v>461</v>
      </c>
      <c r="Z17" s="14"/>
      <c r="AA17" s="14"/>
      <c r="AB17" s="139">
        <f t="shared" si="1"/>
        <v>461</v>
      </c>
    </row>
    <row r="18" spans="2:28" ht="15" customHeight="1">
      <c r="B18" s="185">
        <f>'[1]Pool-gardien'!$B$27</f>
        <v>28.75068493150685</v>
      </c>
      <c r="C18" s="185" t="str">
        <f>'[1]Pool-gardien'!$C$27</f>
        <v>Nsh</v>
      </c>
      <c r="D18" s="186" t="str">
        <f>'[1]Pool-gardien'!$D$27</f>
        <v>Dan Ellis</v>
      </c>
      <c r="E18" s="189">
        <v>20</v>
      </c>
      <c r="F18" s="189">
        <v>7</v>
      </c>
      <c r="G18" s="189">
        <v>2</v>
      </c>
      <c r="H18" s="189">
        <v>3</v>
      </c>
      <c r="I18" s="189">
        <v>0</v>
      </c>
      <c r="J18" s="189">
        <v>0</v>
      </c>
      <c r="K18" s="203">
        <f>(F18*2)+G18+(H18*4)+(I18*10)+J18</f>
        <v>28</v>
      </c>
      <c r="L18" s="7"/>
      <c r="M18" s="8"/>
      <c r="N18" s="42" t="s">
        <v>28</v>
      </c>
      <c r="O18" s="22">
        <f>SUM(O12:O17)</f>
        <v>1486</v>
      </c>
      <c r="P18" s="75">
        <f>SUM(P12:P17)</f>
        <v>1285</v>
      </c>
      <c r="Q18" s="23">
        <f t="shared" si="0"/>
        <v>0.8647375504710633</v>
      </c>
      <c r="R18" s="22">
        <f>'[2]Classement'!$C$20</f>
        <v>1135.2</v>
      </c>
      <c r="U18" s="161"/>
      <c r="W18" s="49" t="s">
        <v>24</v>
      </c>
      <c r="X18" s="43" t="s">
        <v>151</v>
      </c>
      <c r="Y18" s="43">
        <v>262</v>
      </c>
      <c r="Z18" s="14"/>
      <c r="AA18" s="14"/>
      <c r="AB18" s="139">
        <f t="shared" si="1"/>
        <v>262</v>
      </c>
    </row>
    <row r="19" spans="2:28" ht="15" customHeight="1" thickBot="1">
      <c r="B19" s="185">
        <f>'[1]Pool-gardien'!$B$15</f>
        <v>31.5972602739726</v>
      </c>
      <c r="C19" s="185" t="str">
        <f>'[1]Pool-gardien'!$C$15</f>
        <v>Phi</v>
      </c>
      <c r="D19" s="186" t="str">
        <f>'[1]Pool-gardien'!$D$15</f>
        <v>Martin Biron</v>
      </c>
      <c r="E19" s="204">
        <v>9</v>
      </c>
      <c r="F19" s="204">
        <v>3</v>
      </c>
      <c r="G19" s="204">
        <v>1</v>
      </c>
      <c r="H19" s="204">
        <v>0</v>
      </c>
      <c r="I19" s="204">
        <v>0</v>
      </c>
      <c r="J19" s="204">
        <v>2</v>
      </c>
      <c r="K19" s="197">
        <f>(F19*2)+G19+(H19*4)+(I19*10)+J19</f>
        <v>9</v>
      </c>
      <c r="L19" s="7"/>
      <c r="M19" s="8"/>
      <c r="U19" s="161"/>
      <c r="W19" s="49" t="s">
        <v>25</v>
      </c>
      <c r="X19" s="73" t="s">
        <v>95</v>
      </c>
      <c r="Y19" s="43">
        <v>270</v>
      </c>
      <c r="Z19" s="14"/>
      <c r="AA19" s="14"/>
      <c r="AB19" s="139">
        <f t="shared" si="1"/>
        <v>270</v>
      </c>
    </row>
    <row r="20" spans="2:28" ht="15" customHeight="1">
      <c r="B20" s="274" t="s">
        <v>26</v>
      </c>
      <c r="C20" s="275"/>
      <c r="D20" s="255"/>
      <c r="E20" s="14">
        <f aca="true" t="shared" si="2" ref="E20:J20">SUM(E16:E19)</f>
        <v>98</v>
      </c>
      <c r="F20" s="14">
        <f t="shared" si="2"/>
        <v>46</v>
      </c>
      <c r="G20" s="14">
        <f t="shared" si="2"/>
        <v>9</v>
      </c>
      <c r="H20" s="14">
        <f t="shared" si="2"/>
        <v>9</v>
      </c>
      <c r="I20" s="14">
        <f t="shared" si="2"/>
        <v>0</v>
      </c>
      <c r="J20" s="14">
        <f t="shared" si="2"/>
        <v>3</v>
      </c>
      <c r="K20" s="33">
        <f>(F20*2)+G20+(H20*4)+(I20*10)+J20</f>
        <v>140</v>
      </c>
      <c r="L20" s="7"/>
      <c r="M20" s="8"/>
      <c r="N20" s="265" t="s">
        <v>64</v>
      </c>
      <c r="O20" s="266"/>
      <c r="P20" s="266"/>
      <c r="Q20" s="266"/>
      <c r="R20" s="267"/>
      <c r="U20" s="161"/>
      <c r="W20" s="49" t="s">
        <v>85</v>
      </c>
      <c r="X20" s="43" t="s">
        <v>146</v>
      </c>
      <c r="Y20" s="43">
        <v>98</v>
      </c>
      <c r="Z20" s="14"/>
      <c r="AA20" s="14"/>
      <c r="AB20" s="139">
        <f t="shared" si="1"/>
        <v>98</v>
      </c>
    </row>
    <row r="21" spans="2:28" ht="15" customHeight="1" thickBot="1">
      <c r="B21" s="5"/>
      <c r="C21" s="5"/>
      <c r="D21" s="5"/>
      <c r="E21" s="7"/>
      <c r="F21" s="7"/>
      <c r="G21" s="7"/>
      <c r="H21" s="7"/>
      <c r="I21" s="7"/>
      <c r="J21" s="7"/>
      <c r="K21" s="7"/>
      <c r="L21" s="7"/>
      <c r="M21" s="8"/>
      <c r="N21" s="16" t="s">
        <v>8</v>
      </c>
      <c r="O21" s="17" t="s">
        <v>9</v>
      </c>
      <c r="P21" s="71" t="s">
        <v>10</v>
      </c>
      <c r="Q21" s="18" t="s">
        <v>11</v>
      </c>
      <c r="R21" s="19" t="s">
        <v>68</v>
      </c>
      <c r="U21" s="161"/>
      <c r="W21" s="49" t="s">
        <v>21</v>
      </c>
      <c r="X21" s="43" t="s">
        <v>150</v>
      </c>
      <c r="Y21" s="43">
        <v>357</v>
      </c>
      <c r="Z21" s="14"/>
      <c r="AA21" s="14"/>
      <c r="AB21" s="139">
        <f t="shared" si="1"/>
        <v>357</v>
      </c>
    </row>
    <row r="22" spans="2:28" ht="15" customHeight="1" thickBot="1" thickTop="1">
      <c r="B22" s="256" t="s">
        <v>23</v>
      </c>
      <c r="C22" s="257"/>
      <c r="D22" s="257"/>
      <c r="E22" s="257"/>
      <c r="F22" s="257"/>
      <c r="G22" s="257"/>
      <c r="H22" s="257"/>
      <c r="I22" s="258"/>
      <c r="J22" s="7"/>
      <c r="K22" s="7"/>
      <c r="L22" s="7"/>
      <c r="M22" s="8"/>
      <c r="N22" s="20" t="s">
        <v>31</v>
      </c>
      <c r="O22" s="27">
        <f>E91</f>
        <v>53</v>
      </c>
      <c r="P22" s="73">
        <f>I91</f>
        <v>111</v>
      </c>
      <c r="Q22" s="29">
        <f>P22/O22</f>
        <v>2.0943396226415096</v>
      </c>
      <c r="R22" s="63"/>
      <c r="U22" s="161"/>
      <c r="W22" s="49" t="s">
        <v>30</v>
      </c>
      <c r="X22" s="43" t="s">
        <v>147</v>
      </c>
      <c r="Y22" s="43">
        <v>680</v>
      </c>
      <c r="Z22" s="14"/>
      <c r="AA22" s="14"/>
      <c r="AB22" s="139">
        <f t="shared" si="1"/>
        <v>680</v>
      </c>
    </row>
    <row r="23" spans="2:28" ht="15" customHeight="1" thickBot="1">
      <c r="B23" s="30" t="s">
        <v>15</v>
      </c>
      <c r="C23" s="30" t="s">
        <v>29</v>
      </c>
      <c r="D23" s="30" t="s">
        <v>17</v>
      </c>
      <c r="E23" s="31" t="s">
        <v>2</v>
      </c>
      <c r="F23" s="31" t="s">
        <v>21</v>
      </c>
      <c r="G23" s="31" t="s">
        <v>30</v>
      </c>
      <c r="H23" s="32" t="s">
        <v>6</v>
      </c>
      <c r="I23" s="31" t="s">
        <v>11</v>
      </c>
      <c r="J23" s="7"/>
      <c r="K23" s="7"/>
      <c r="L23" s="7"/>
      <c r="M23" s="8"/>
      <c r="N23" s="26" t="s">
        <v>32</v>
      </c>
      <c r="O23" s="27">
        <f>E99</f>
        <v>34</v>
      </c>
      <c r="P23" s="73">
        <f>K99</f>
        <v>29</v>
      </c>
      <c r="Q23" s="29">
        <f aca="true" t="shared" si="3" ref="Q23:Q28">P23/O23</f>
        <v>0.8529411764705882</v>
      </c>
      <c r="R23" s="63"/>
      <c r="U23" s="161"/>
      <c r="W23" s="49" t="s">
        <v>86</v>
      </c>
      <c r="X23" s="43" t="s">
        <v>149</v>
      </c>
      <c r="Y23" s="43">
        <v>1037</v>
      </c>
      <c r="Z23" s="14"/>
      <c r="AA23" s="14"/>
      <c r="AB23" s="139">
        <f t="shared" si="1"/>
        <v>1037</v>
      </c>
    </row>
    <row r="24" spans="2:28" ht="15" customHeight="1" thickTop="1">
      <c r="B24" s="107">
        <f>'[1]POOL-joueus'!$B$18</f>
        <v>33.75890410958904</v>
      </c>
      <c r="C24" s="107" t="str">
        <f>'[1]POOL-joueus'!$C$18</f>
        <v>T.B.</v>
      </c>
      <c r="D24" s="124" t="str">
        <f>'[1]POOL-joueus'!$D$18</f>
        <v>Martin St-Louis</v>
      </c>
      <c r="E24" s="107">
        <f>('[1]POOL-joueus'!$E$18)</f>
        <v>68</v>
      </c>
      <c r="F24" s="107">
        <f>('[1]POOL-joueus'!$F$18)</f>
        <v>25</v>
      </c>
      <c r="G24" s="107">
        <f>('[1]POOL-joueus'!$G$18)</f>
        <v>42</v>
      </c>
      <c r="H24" s="44">
        <f aca="true" t="shared" si="4" ref="H24:H35">SUM(F24:G24)</f>
        <v>67</v>
      </c>
      <c r="I24" s="45">
        <f aca="true" t="shared" si="5" ref="I24:I35">H24/E24</f>
        <v>0.9852941176470589</v>
      </c>
      <c r="J24" s="7"/>
      <c r="K24" s="7"/>
      <c r="L24" s="7"/>
      <c r="M24" s="8"/>
      <c r="N24" s="26" t="s">
        <v>33</v>
      </c>
      <c r="O24" s="27">
        <f>E117</f>
        <v>218</v>
      </c>
      <c r="P24" s="73">
        <f>H117</f>
        <v>107</v>
      </c>
      <c r="Q24" s="29">
        <f t="shared" si="3"/>
        <v>0.4908256880733945</v>
      </c>
      <c r="R24" s="63"/>
      <c r="U24" s="161"/>
      <c r="W24" s="49" t="s">
        <v>87</v>
      </c>
      <c r="X24" s="43" t="s">
        <v>153</v>
      </c>
      <c r="Y24" s="43">
        <v>430</v>
      </c>
      <c r="Z24" s="14"/>
      <c r="AA24" s="14"/>
      <c r="AB24" s="139">
        <f t="shared" si="1"/>
        <v>430</v>
      </c>
    </row>
    <row r="25" spans="2:28" ht="15" customHeight="1">
      <c r="B25" s="107">
        <f>'[1]POOL-joueus'!$B$23</f>
        <v>26.301369863013697</v>
      </c>
      <c r="C25" s="107" t="str">
        <f>'[1]POOL-joueus'!$C$23</f>
        <v>Buf</v>
      </c>
      <c r="D25" s="124" t="str">
        <f>'[1]POOL-joueus'!$D$23</f>
        <v>Jason Pominville</v>
      </c>
      <c r="E25" s="107">
        <f>'[1]POOL-joueus'!$E$23</f>
        <v>67</v>
      </c>
      <c r="F25" s="107">
        <f>'[1]POOL-joueus'!$F$23</f>
        <v>14</v>
      </c>
      <c r="G25" s="107">
        <f>'[1]POOL-joueus'!$G$23</f>
        <v>34</v>
      </c>
      <c r="H25" s="44">
        <f t="shared" si="4"/>
        <v>48</v>
      </c>
      <c r="I25" s="45">
        <f t="shared" si="5"/>
        <v>0.7164179104477612</v>
      </c>
      <c r="J25" s="7"/>
      <c r="K25" s="7"/>
      <c r="L25" s="7"/>
      <c r="M25" s="8"/>
      <c r="N25" s="26" t="s">
        <v>34</v>
      </c>
      <c r="O25" s="27">
        <f>E130</f>
        <v>112</v>
      </c>
      <c r="P25" s="73">
        <f>H130</f>
        <v>74</v>
      </c>
      <c r="Q25" s="29">
        <f t="shared" si="3"/>
        <v>0.6607142857142857</v>
      </c>
      <c r="R25" s="63"/>
      <c r="U25" s="161"/>
      <c r="W25" s="49" t="s">
        <v>112</v>
      </c>
      <c r="X25" s="43" t="s">
        <v>146</v>
      </c>
      <c r="Y25" s="43">
        <v>80</v>
      </c>
      <c r="Z25" s="14"/>
      <c r="AA25" s="14"/>
      <c r="AB25" s="139">
        <f t="shared" si="1"/>
        <v>80</v>
      </c>
    </row>
    <row r="26" spans="2:28" ht="15" customHeight="1">
      <c r="B26" s="185">
        <f>'[1]POOL-joueus'!$B$15</f>
        <v>36.07123287671233</v>
      </c>
      <c r="C26" s="185" t="str">
        <f>'[1]POOL-joueus'!$C$15</f>
        <v>Mtl</v>
      </c>
      <c r="D26" s="186" t="str">
        <f>'[1]POOL-joueus'!$D$15</f>
        <v>Aleixei Kovalev</v>
      </c>
      <c r="E26" s="185">
        <v>64</v>
      </c>
      <c r="F26" s="185">
        <v>15</v>
      </c>
      <c r="G26" s="185">
        <v>29</v>
      </c>
      <c r="H26" s="187">
        <f t="shared" si="4"/>
        <v>44</v>
      </c>
      <c r="I26" s="188">
        <f t="shared" si="5"/>
        <v>0.6875</v>
      </c>
      <c r="J26" s="7"/>
      <c r="K26" s="7"/>
      <c r="L26" s="7"/>
      <c r="M26" s="8"/>
      <c r="N26" s="26" t="s">
        <v>35</v>
      </c>
      <c r="O26" s="27">
        <f>E144</f>
        <v>162</v>
      </c>
      <c r="P26" s="73">
        <f>H144</f>
        <v>44</v>
      </c>
      <c r="Q26" s="29">
        <f t="shared" si="3"/>
        <v>0.2716049382716049</v>
      </c>
      <c r="R26" s="63"/>
      <c r="U26" s="161"/>
      <c r="W26" s="49" t="s">
        <v>88</v>
      </c>
      <c r="X26" s="43" t="s">
        <v>149</v>
      </c>
      <c r="Y26" s="43">
        <v>9</v>
      </c>
      <c r="Z26" s="14"/>
      <c r="AA26" s="14"/>
      <c r="AB26" s="139">
        <f t="shared" si="1"/>
        <v>9</v>
      </c>
    </row>
    <row r="27" spans="2:28" ht="15" customHeight="1" thickBot="1">
      <c r="B27" s="107">
        <f>'[1]POOL-joueus'!$B$143</f>
        <v>33.66027397260274</v>
      </c>
      <c r="C27" s="107" t="str">
        <f>'[1]POOL-joueus'!$C$143</f>
        <v>N.J.</v>
      </c>
      <c r="D27" s="124" t="str">
        <f>'[1]POOL-joueus'!$D$143</f>
        <v>Jamie Langenbrunner</v>
      </c>
      <c r="E27" s="107">
        <f>(('[1]POOL-joueus'!$E$143))-5</f>
        <v>61</v>
      </c>
      <c r="F27" s="107">
        <f>(('[1]POOL-joueus'!$F$143))</f>
        <v>22</v>
      </c>
      <c r="G27" s="107">
        <f>(('[1]POOL-joueus'!$G$143))-6</f>
        <v>31</v>
      </c>
      <c r="H27" s="44">
        <f t="shared" si="4"/>
        <v>53</v>
      </c>
      <c r="I27" s="45">
        <f t="shared" si="5"/>
        <v>0.8688524590163934</v>
      </c>
      <c r="J27" s="7"/>
      <c r="K27" s="7"/>
      <c r="L27" s="7"/>
      <c r="M27" s="8"/>
      <c r="N27" s="38" t="s">
        <v>36</v>
      </c>
      <c r="O27" s="117">
        <f>E164</f>
        <v>100</v>
      </c>
      <c r="P27" s="74">
        <f>H164</f>
        <v>51</v>
      </c>
      <c r="Q27" s="41">
        <f t="shared" si="3"/>
        <v>0.51</v>
      </c>
      <c r="R27" s="64"/>
      <c r="U27" s="161"/>
      <c r="W27" s="49" t="s">
        <v>160</v>
      </c>
      <c r="X27" s="73" t="s">
        <v>95</v>
      </c>
      <c r="Y27" s="43">
        <v>19</v>
      </c>
      <c r="Z27" s="14"/>
      <c r="AA27" s="14"/>
      <c r="AB27" s="139">
        <f t="shared" si="1"/>
        <v>19</v>
      </c>
    </row>
    <row r="28" spans="2:28" ht="15" customHeight="1">
      <c r="B28" s="107">
        <f>'[1]POOL-joueus'!$B$88</f>
        <v>34.30958904109589</v>
      </c>
      <c r="C28" s="107" t="str">
        <f>'[1]POOL-joueus'!$C$88</f>
        <v>Van</v>
      </c>
      <c r="D28" s="124" t="str">
        <f>'[1]POOL-joueus'!$D$88</f>
        <v>Pavol Demitra</v>
      </c>
      <c r="E28" s="106">
        <f>('[1]POOL-joueus'!$E$88)-1</f>
        <v>52</v>
      </c>
      <c r="F28" s="106">
        <f>('[1]POOL-joueus'!$F$88)</f>
        <v>17</v>
      </c>
      <c r="G28" s="106">
        <f>('[1]POOL-joueus'!$G$88)-3</f>
        <v>22</v>
      </c>
      <c r="H28" s="44">
        <f t="shared" si="4"/>
        <v>39</v>
      </c>
      <c r="I28" s="45">
        <f t="shared" si="5"/>
        <v>0.75</v>
      </c>
      <c r="J28" s="7"/>
      <c r="K28" s="7"/>
      <c r="L28" s="7"/>
      <c r="M28" s="8"/>
      <c r="N28" s="42" t="s">
        <v>37</v>
      </c>
      <c r="O28" s="22">
        <f>SUM(O22:O27)</f>
        <v>679</v>
      </c>
      <c r="P28" s="72">
        <f>SUM(P22:P27)</f>
        <v>416</v>
      </c>
      <c r="Q28" s="23">
        <f t="shared" si="3"/>
        <v>0.6126656848306333</v>
      </c>
      <c r="R28" s="22">
        <f>'[2]Individuel'!$I$61</f>
        <v>420.7</v>
      </c>
      <c r="U28" s="161"/>
      <c r="W28" s="49" t="s">
        <v>161</v>
      </c>
      <c r="X28" s="43" t="s">
        <v>148</v>
      </c>
      <c r="Y28" s="43">
        <v>62</v>
      </c>
      <c r="Z28" s="14"/>
      <c r="AA28" s="14"/>
      <c r="AB28" s="139">
        <f t="shared" si="1"/>
        <v>62</v>
      </c>
    </row>
    <row r="29" spans="2:28" ht="15" customHeight="1" thickBot="1">
      <c r="B29" s="107">
        <f>'[1]POOL-joueus'!$B$775</f>
        <v>24.315068493150687</v>
      </c>
      <c r="C29" s="107" t="str">
        <f>'[1]POOL-joueus'!$C$775</f>
        <v>Fla</v>
      </c>
      <c r="D29" s="124" t="str">
        <f>'[1]POOL-joueus'!$D$775</f>
        <v>David Booth</v>
      </c>
      <c r="E29" s="107">
        <f>(('[1]POOL-joueus'!$E$775)-19)-1</f>
        <v>37</v>
      </c>
      <c r="F29" s="107">
        <f>(('[1]POOL-joueus'!$F$775)-9)-1</f>
        <v>14</v>
      </c>
      <c r="G29" s="107">
        <f>(('[1]POOL-joueus'!$G$775)-1)</f>
        <v>19</v>
      </c>
      <c r="H29" s="44">
        <f t="shared" si="4"/>
        <v>33</v>
      </c>
      <c r="I29" s="45">
        <f t="shared" si="5"/>
        <v>0.8918918918918919</v>
      </c>
      <c r="J29" s="7"/>
      <c r="K29" s="7"/>
      <c r="L29" s="7"/>
      <c r="M29" s="8"/>
      <c r="U29" s="161"/>
      <c r="W29" s="49" t="s">
        <v>165</v>
      </c>
      <c r="X29" s="43" t="s">
        <v>154</v>
      </c>
      <c r="Y29" s="43">
        <v>31.1</v>
      </c>
      <c r="Z29" s="43"/>
      <c r="AA29" s="43"/>
      <c r="AB29" s="160"/>
    </row>
    <row r="30" spans="2:28" ht="15" customHeight="1">
      <c r="B30" s="107">
        <f>'[1]POOL-joueus'!$B$35</f>
        <v>30.96986301369863</v>
      </c>
      <c r="C30" s="107" t="str">
        <f>'[1]POOL-joueus'!$C$35</f>
        <v>Nsh</v>
      </c>
      <c r="D30" s="124" t="str">
        <f>'[1]POOL-joueus'!$D$35</f>
        <v>Jean-Pierre Dumont</v>
      </c>
      <c r="E30" s="107">
        <f>('[1]POOL-joueus'!$E$35)-14</f>
        <v>54</v>
      </c>
      <c r="F30" s="107">
        <f>('[1]POOL-joueus'!$F$35)-2</f>
        <v>11</v>
      </c>
      <c r="G30" s="107">
        <f>('[1]POOL-joueus'!$G$35)-14</f>
        <v>25</v>
      </c>
      <c r="H30" s="44">
        <f t="shared" si="4"/>
        <v>36</v>
      </c>
      <c r="I30" s="45">
        <f t="shared" si="5"/>
        <v>0.6666666666666666</v>
      </c>
      <c r="J30" s="7"/>
      <c r="K30" s="7"/>
      <c r="L30" s="7"/>
      <c r="M30" s="8"/>
      <c r="N30" s="265" t="s">
        <v>60</v>
      </c>
      <c r="O30" s="266"/>
      <c r="P30" s="266"/>
      <c r="Q30" s="266"/>
      <c r="R30" s="267"/>
      <c r="U30" s="161"/>
      <c r="W30" s="159"/>
      <c r="X30" s="298" t="s">
        <v>158</v>
      </c>
      <c r="Y30" s="299"/>
      <c r="Z30" s="298" t="s">
        <v>158</v>
      </c>
      <c r="AA30" s="299"/>
      <c r="AB30" s="160"/>
    </row>
    <row r="31" spans="2:28" ht="15" customHeight="1" thickBot="1">
      <c r="B31" s="107">
        <f>'[1]POOL-joueus'!$B$161</f>
        <v>26.923287671232877</v>
      </c>
      <c r="C31" s="107" t="str">
        <f>'[1]POOL-joueus'!$C$161</f>
        <v>Bos</v>
      </c>
      <c r="D31" s="124" t="str">
        <f>'[1]POOL-joueus'!$D$161</f>
        <v>Chuck Kobasew</v>
      </c>
      <c r="E31" s="107">
        <f>('[1]POOL-joueus'!$E$161)-2</f>
        <v>53</v>
      </c>
      <c r="F31" s="107">
        <f>('[1]POOL-joueus'!$F$161)-1</f>
        <v>16</v>
      </c>
      <c r="G31" s="107">
        <f>('[1]POOL-joueus'!$G$161)-3</f>
        <v>14</v>
      </c>
      <c r="H31" s="44">
        <f t="shared" si="4"/>
        <v>30</v>
      </c>
      <c r="I31" s="45">
        <f t="shared" si="5"/>
        <v>0.5660377358490566</v>
      </c>
      <c r="J31" s="7"/>
      <c r="K31" s="7"/>
      <c r="L31" s="7"/>
      <c r="M31" s="8"/>
      <c r="N31" s="16" t="s">
        <v>8</v>
      </c>
      <c r="O31" s="17" t="s">
        <v>9</v>
      </c>
      <c r="P31" s="17" t="s">
        <v>62</v>
      </c>
      <c r="Q31" s="18" t="s">
        <v>11</v>
      </c>
      <c r="R31" s="19" t="s">
        <v>68</v>
      </c>
      <c r="U31" s="161"/>
      <c r="W31" s="49" t="s">
        <v>167</v>
      </c>
      <c r="X31" s="259">
        <v>1</v>
      </c>
      <c r="Y31" s="260"/>
      <c r="Z31" s="259">
        <v>1</v>
      </c>
      <c r="AA31" s="260"/>
      <c r="AB31" s="140">
        <f>X31+Z31</f>
        <v>2</v>
      </c>
    </row>
    <row r="32" spans="2:28" ht="15" customHeight="1" thickTop="1">
      <c r="B32" s="108">
        <f>'[1]POOL-joueus'!$B$69</f>
        <v>35.57534246575342</v>
      </c>
      <c r="C32" s="108" t="str">
        <f>'[1]POOL-joueus'!$C$69</f>
        <v>Min</v>
      </c>
      <c r="D32" s="110" t="str">
        <f>'[1]POOL-joueus'!$D$69</f>
        <v>Andrew Brunette</v>
      </c>
      <c r="E32" s="109">
        <f>((('[1]POOL-joueus'!$E$69))-55)-8</f>
        <v>2</v>
      </c>
      <c r="F32" s="109">
        <f>((('[1]POOL-joueus'!$F$69))-13)-2</f>
        <v>0</v>
      </c>
      <c r="G32" s="109">
        <f>((('[1]POOL-joueus'!$G$69))-19)-2</f>
        <v>0</v>
      </c>
      <c r="H32" s="44">
        <f>SUM(F32:G32)</f>
        <v>0</v>
      </c>
      <c r="I32" s="45">
        <f>H32/E32</f>
        <v>0</v>
      </c>
      <c r="J32" s="7"/>
      <c r="K32" s="7"/>
      <c r="L32" s="7"/>
      <c r="M32" s="8"/>
      <c r="N32" s="20" t="s">
        <v>21</v>
      </c>
      <c r="O32" s="69"/>
      <c r="P32" s="22">
        <f>F41+F55+F69+F81</f>
        <v>298</v>
      </c>
      <c r="Q32" s="23">
        <f>P32/O34</f>
        <v>0.24051654560129138</v>
      </c>
      <c r="R32" s="22">
        <f>'[2]Individuel'!$D$47</f>
        <v>320.7</v>
      </c>
      <c r="U32" s="161"/>
      <c r="W32" s="49" t="s">
        <v>168</v>
      </c>
      <c r="X32" s="259">
        <v>4</v>
      </c>
      <c r="Y32" s="260"/>
      <c r="Z32" s="259">
        <v>7</v>
      </c>
      <c r="AA32" s="260"/>
      <c r="AB32" s="140">
        <f>X32+Z32</f>
        <v>11</v>
      </c>
    </row>
    <row r="33" spans="2:28" ht="15" customHeight="1">
      <c r="B33" s="185">
        <f>'[1]POOL-joueus'!$B$220</f>
        <v>23.96712328767123</v>
      </c>
      <c r="C33" s="185" t="str">
        <f>'[1]POOL-joueus'!$C$220</f>
        <v>Van</v>
      </c>
      <c r="D33" s="186" t="str">
        <f>'[1]POOL-joueus'!$D$220</f>
        <v>Steve Bernier</v>
      </c>
      <c r="E33" s="185">
        <v>33</v>
      </c>
      <c r="F33" s="185">
        <v>7</v>
      </c>
      <c r="G33" s="185">
        <v>6</v>
      </c>
      <c r="H33" s="187">
        <f t="shared" si="4"/>
        <v>13</v>
      </c>
      <c r="I33" s="188">
        <f t="shared" si="5"/>
        <v>0.3939393939393939</v>
      </c>
      <c r="J33" s="7"/>
      <c r="K33" s="7"/>
      <c r="L33" s="7"/>
      <c r="M33" s="8"/>
      <c r="N33" s="26" t="s">
        <v>30</v>
      </c>
      <c r="O33" s="69"/>
      <c r="P33" s="28">
        <f>G41+G55+G69+G81</f>
        <v>553</v>
      </c>
      <c r="Q33" s="29">
        <f>P33/O34</f>
        <v>0.4463276836158192</v>
      </c>
      <c r="R33" s="28">
        <f>'[2]Individuel'!$I$47</f>
        <v>539.3</v>
      </c>
      <c r="U33" s="161"/>
      <c r="W33" s="49" t="s">
        <v>89</v>
      </c>
      <c r="X33" s="259">
        <v>1</v>
      </c>
      <c r="Y33" s="260"/>
      <c r="Z33" s="259"/>
      <c r="AA33" s="260"/>
      <c r="AB33" s="140">
        <f>X33+Z33</f>
        <v>1</v>
      </c>
    </row>
    <row r="34" spans="2:28" ht="15" customHeight="1">
      <c r="B34" s="185">
        <f>'[1]POOL-joueus'!$B$380</f>
        <v>34.45205479452055</v>
      </c>
      <c r="C34" s="185" t="str">
        <f>'[1]POOL-joueus'!$C$380</f>
        <v>Cbj</v>
      </c>
      <c r="D34" s="186" t="str">
        <f>'[1]POOL-joueus'!$D$380</f>
        <v>Fredrik Modin</v>
      </c>
      <c r="E34" s="185">
        <v>3</v>
      </c>
      <c r="F34" s="185">
        <v>0</v>
      </c>
      <c r="G34" s="185">
        <v>2</v>
      </c>
      <c r="H34" s="187">
        <f t="shared" si="4"/>
        <v>2</v>
      </c>
      <c r="I34" s="188">
        <f t="shared" si="5"/>
        <v>0.6666666666666666</v>
      </c>
      <c r="J34" s="7"/>
      <c r="K34" s="7"/>
      <c r="L34" s="7"/>
      <c r="M34" s="8"/>
      <c r="N34" s="26" t="s">
        <v>55</v>
      </c>
      <c r="O34" s="27">
        <f>E41+E55+E69+E81</f>
        <v>1239</v>
      </c>
      <c r="P34" s="28">
        <f>SUM(P32:P33)</f>
        <v>851</v>
      </c>
      <c r="Q34" s="29">
        <f>P34/O34</f>
        <v>0.6868442292171105</v>
      </c>
      <c r="R34" s="28">
        <f>'[2]Individuel'!$N$47</f>
        <v>860</v>
      </c>
      <c r="U34" s="161"/>
      <c r="W34" s="49" t="s">
        <v>194</v>
      </c>
      <c r="X34" s="259">
        <v>2</v>
      </c>
      <c r="Y34" s="260"/>
      <c r="Z34" s="259"/>
      <c r="AA34" s="260"/>
      <c r="AB34" s="140">
        <f>X34+Z34</f>
        <v>2</v>
      </c>
    </row>
    <row r="35" spans="2:28" ht="15" customHeight="1">
      <c r="B35" s="185">
        <f>'[1]POOL-joueus'!$B$95</f>
        <v>26.665753424657535</v>
      </c>
      <c r="C35" s="185" t="str">
        <f>'[1]POOL-joueus'!$C$95</f>
        <v>Cbj</v>
      </c>
      <c r="D35" s="186" t="str">
        <f>'[1]POOL-joueus'!$D$95</f>
        <v>Antoine Vermette</v>
      </c>
      <c r="E35" s="185">
        <v>4</v>
      </c>
      <c r="F35" s="185">
        <v>1</v>
      </c>
      <c r="G35" s="185">
        <v>2</v>
      </c>
      <c r="H35" s="187">
        <f t="shared" si="4"/>
        <v>3</v>
      </c>
      <c r="I35" s="188">
        <f t="shared" si="5"/>
        <v>0.75</v>
      </c>
      <c r="J35" s="7"/>
      <c r="K35" s="7"/>
      <c r="L35" s="7"/>
      <c r="M35" s="8"/>
      <c r="N35" s="26" t="s">
        <v>56</v>
      </c>
      <c r="O35" s="67"/>
      <c r="P35" s="63"/>
      <c r="Q35" s="68"/>
      <c r="R35" s="29">
        <f>'[2]Individuel'!$D$61</f>
        <v>0.6703402518874818</v>
      </c>
      <c r="U35" s="161"/>
      <c r="W35" s="49" t="s">
        <v>132</v>
      </c>
      <c r="X35" s="268">
        <v>35</v>
      </c>
      <c r="Y35" s="269"/>
      <c r="Z35" s="268"/>
      <c r="AA35" s="269"/>
      <c r="AB35" s="157">
        <f>X35+Z35</f>
        <v>35</v>
      </c>
    </row>
    <row r="36" spans="2:21" ht="15" customHeight="1">
      <c r="B36" s="189">
        <f>'[1]POOL-joueus'!$B$122</f>
        <v>25.487671232876714</v>
      </c>
      <c r="C36" s="189" t="str">
        <f>'[1]POOL-joueus'!$C$122</f>
        <v>Phi</v>
      </c>
      <c r="D36" s="190" t="str">
        <f>'[1]POOL-joueus'!$D$122</f>
        <v>Joffrey Lupul</v>
      </c>
      <c r="E36" s="189">
        <v>23</v>
      </c>
      <c r="F36" s="189">
        <v>8</v>
      </c>
      <c r="G36" s="189">
        <v>3</v>
      </c>
      <c r="H36" s="187">
        <f aca="true" t="shared" si="6" ref="H36:H41">SUM(F36:G36)</f>
        <v>11</v>
      </c>
      <c r="I36" s="188">
        <f aca="true" t="shared" si="7" ref="I36:I41">H36/E36</f>
        <v>0.4782608695652174</v>
      </c>
      <c r="J36" s="7"/>
      <c r="K36" s="7"/>
      <c r="L36" s="7"/>
      <c r="M36" s="8"/>
      <c r="N36" s="26" t="s">
        <v>57</v>
      </c>
      <c r="O36" s="27">
        <f>E20+E75</f>
        <v>176</v>
      </c>
      <c r="P36" s="28">
        <f>F20+F75</f>
        <v>91</v>
      </c>
      <c r="Q36" s="29">
        <f>P36/O36</f>
        <v>0.5170454545454546</v>
      </c>
      <c r="R36" s="28">
        <f>'[2]Individuel'!$D$75</f>
        <v>59.9</v>
      </c>
      <c r="U36" s="161"/>
    </row>
    <row r="37" spans="2:31" ht="15" customHeight="1">
      <c r="B37" s="183">
        <f>'[1]POOL-joueus'!$B$92</f>
        <v>20.926027397260274</v>
      </c>
      <c r="C37" s="183" t="str">
        <f>'[1]POOL-joueus'!$C$92</f>
        <v>Phx</v>
      </c>
      <c r="D37" s="184" t="str">
        <f>'[1]POOL-joueus'!$D$92</f>
        <v>Peter Mueller</v>
      </c>
      <c r="E37" s="183">
        <v>13</v>
      </c>
      <c r="F37" s="183">
        <v>5</v>
      </c>
      <c r="G37" s="183">
        <v>5</v>
      </c>
      <c r="H37" s="187">
        <f t="shared" si="6"/>
        <v>10</v>
      </c>
      <c r="I37" s="188">
        <f t="shared" si="7"/>
        <v>0.7692307692307693</v>
      </c>
      <c r="J37" s="7"/>
      <c r="K37" s="7"/>
      <c r="L37" s="7"/>
      <c r="M37" s="8"/>
      <c r="N37" s="34" t="s">
        <v>58</v>
      </c>
      <c r="O37" s="27">
        <f>E20+E75</f>
        <v>176</v>
      </c>
      <c r="P37" s="28">
        <f>H20+G75</f>
        <v>12</v>
      </c>
      <c r="Q37" s="29">
        <f>P37/O37</f>
        <v>0.06818181818181818</v>
      </c>
      <c r="R37" s="28">
        <f>'[2]Individuel'!$I$75</f>
        <v>7.1</v>
      </c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</row>
    <row r="38" spans="2:21" ht="15" customHeight="1">
      <c r="B38" s="185">
        <f>'[1]POOL-joueus'!$B$246</f>
        <v>24.84109589041096</v>
      </c>
      <c r="C38" s="185" t="str">
        <f>'[1]POOL-joueus'!$C$246</f>
        <v>Wsh</v>
      </c>
      <c r="D38" s="186" t="str">
        <f>'[1]POOL-joueus'!$D$246</f>
        <v>Tomas Fleischman</v>
      </c>
      <c r="E38" s="185">
        <v>7</v>
      </c>
      <c r="F38" s="185">
        <v>3</v>
      </c>
      <c r="G38" s="185">
        <v>0</v>
      </c>
      <c r="H38" s="187">
        <f t="shared" si="6"/>
        <v>3</v>
      </c>
      <c r="I38" s="188">
        <f t="shared" si="7"/>
        <v>0.42857142857142855</v>
      </c>
      <c r="J38" s="7"/>
      <c r="K38" s="7"/>
      <c r="L38" s="7"/>
      <c r="M38" s="8"/>
      <c r="N38" s="26" t="s">
        <v>59</v>
      </c>
      <c r="O38" s="27">
        <f>E20+E75</f>
        <v>176</v>
      </c>
      <c r="P38" s="28">
        <f>G20+H75</f>
        <v>23</v>
      </c>
      <c r="Q38" s="29">
        <f>P38/O38</f>
        <v>0.13068181818181818</v>
      </c>
      <c r="R38" s="28">
        <f>'[2]Individuel'!$N$75</f>
        <v>13.6</v>
      </c>
      <c r="U38" s="161"/>
    </row>
    <row r="39" spans="2:21" ht="15" customHeight="1" thickBot="1">
      <c r="B39" s="185">
        <f>'[1]POOL-joueus'!$B$782</f>
        <v>23.5013698630137</v>
      </c>
      <c r="C39" s="185" t="str">
        <f>'[1]POOL-joueus'!$C$782</f>
        <v>Van</v>
      </c>
      <c r="D39" s="186" t="str">
        <f>'[1]POOL-joueus'!$D$782</f>
        <v>Mason Raymond</v>
      </c>
      <c r="E39" s="185">
        <v>3</v>
      </c>
      <c r="F39" s="185">
        <v>0</v>
      </c>
      <c r="G39" s="185">
        <v>0</v>
      </c>
      <c r="H39" s="187">
        <f t="shared" si="6"/>
        <v>0</v>
      </c>
      <c r="I39" s="188">
        <f t="shared" si="7"/>
        <v>0</v>
      </c>
      <c r="J39" s="7"/>
      <c r="K39" s="7"/>
      <c r="L39" s="7"/>
      <c r="M39" s="8"/>
      <c r="N39" s="26" t="s">
        <v>38</v>
      </c>
      <c r="O39" s="70">
        <f>(B16+B18+B24+B25+B26+B36+B27+B35+B28+B29+B45+B46+B48+B49+B59+B60+B61+B62+B64+B65+B73+B78+B96+B103+B106+B109+B113+B122+B123+B124+B135+B136+B137+B142+B148+B149+B156+B157+B158)/39</f>
        <v>28.60871092377941</v>
      </c>
      <c r="P39" s="61"/>
      <c r="Q39" s="62"/>
      <c r="R39" s="63"/>
      <c r="U39" s="161"/>
    </row>
    <row r="40" spans="2:30" ht="15" customHeight="1" thickBot="1">
      <c r="B40" s="107"/>
      <c r="C40" s="107"/>
      <c r="D40" s="124"/>
      <c r="E40" s="123"/>
      <c r="F40" s="123"/>
      <c r="G40" s="123"/>
      <c r="H40" s="37">
        <f t="shared" si="6"/>
        <v>0</v>
      </c>
      <c r="I40" s="46" t="e">
        <f t="shared" si="7"/>
        <v>#DIV/0!</v>
      </c>
      <c r="J40" s="145"/>
      <c r="K40" s="7"/>
      <c r="L40" s="7"/>
      <c r="M40" s="8"/>
      <c r="N40" s="34" t="s">
        <v>39</v>
      </c>
      <c r="O40" s="70"/>
      <c r="P40" s="61"/>
      <c r="Q40" s="62"/>
      <c r="R40" s="63"/>
      <c r="U40" s="161"/>
      <c r="W40" s="265" t="s">
        <v>162</v>
      </c>
      <c r="X40" s="266"/>
      <c r="Y40" s="266"/>
      <c r="Z40" s="266"/>
      <c r="AA40" s="266"/>
      <c r="AB40" s="266"/>
      <c r="AC40" s="266"/>
      <c r="AD40" s="267"/>
    </row>
    <row r="41" spans="2:30" ht="15" customHeight="1" thickBot="1">
      <c r="B41" s="274" t="s">
        <v>26</v>
      </c>
      <c r="C41" s="275"/>
      <c r="D41" s="255"/>
      <c r="E41" s="14">
        <f>SUM(E24:E40)</f>
        <v>544</v>
      </c>
      <c r="F41" s="14">
        <f>SUM(F24:F40)</f>
        <v>158</v>
      </c>
      <c r="G41" s="14">
        <f>SUM(G24:G40)</f>
        <v>234</v>
      </c>
      <c r="H41" s="33">
        <f t="shared" si="6"/>
        <v>392</v>
      </c>
      <c r="I41" s="50">
        <f t="shared" si="7"/>
        <v>0.7205882352941176</v>
      </c>
      <c r="J41" s="7"/>
      <c r="K41" s="7"/>
      <c r="L41" s="7"/>
      <c r="M41" s="8"/>
      <c r="N41" s="26" t="s">
        <v>40</v>
      </c>
      <c r="O41" s="70">
        <f>(B16+B18+B24+B25+B26+B36+B27+B35+B28+B29+B45+B46+B48+B49+B59+B60+B61+B62+B64+B65+B73+B78)/22</f>
        <v>29.64570361145704</v>
      </c>
      <c r="P41" s="59"/>
      <c r="Q41" s="60"/>
      <c r="R41" s="125" t="e">
        <f>'[2]Individuel'!$N$61</f>
        <v>#REF!</v>
      </c>
      <c r="U41" s="161"/>
      <c r="W41" s="65" t="s">
        <v>8</v>
      </c>
      <c r="X41" s="66" t="s">
        <v>9</v>
      </c>
      <c r="Y41" s="66" t="s">
        <v>10</v>
      </c>
      <c r="Z41" s="66"/>
      <c r="AA41" s="66"/>
      <c r="AB41" s="65" t="s">
        <v>11</v>
      </c>
      <c r="AC41" s="65" t="s">
        <v>68</v>
      </c>
      <c r="AD41" s="65" t="s">
        <v>41</v>
      </c>
    </row>
    <row r="42" spans="2:30" ht="15" customHeight="1" thickBot="1" thickTop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8"/>
      <c r="U42" s="161"/>
      <c r="W42" s="48" t="s">
        <v>42</v>
      </c>
      <c r="X42" s="21">
        <v>235</v>
      </c>
      <c r="Y42" s="22">
        <v>211</v>
      </c>
      <c r="Z42" s="22"/>
      <c r="AA42" s="22"/>
      <c r="AB42" s="23">
        <v>0.8978723404255319</v>
      </c>
      <c r="AC42" s="22">
        <v>191.9</v>
      </c>
      <c r="AD42" s="22" t="s">
        <v>147</v>
      </c>
    </row>
    <row r="43" spans="2:30" ht="15" customHeight="1" thickBot="1">
      <c r="B43" s="256" t="s">
        <v>24</v>
      </c>
      <c r="C43" s="257"/>
      <c r="D43" s="257"/>
      <c r="E43" s="257"/>
      <c r="F43" s="257"/>
      <c r="G43" s="257"/>
      <c r="H43" s="257"/>
      <c r="I43" s="258"/>
      <c r="J43" s="7"/>
      <c r="K43" s="7"/>
      <c r="L43" s="7"/>
      <c r="M43" s="8"/>
      <c r="N43" s="265" t="s">
        <v>61</v>
      </c>
      <c r="O43" s="266"/>
      <c r="P43" s="266"/>
      <c r="Q43" s="266"/>
      <c r="R43" s="266"/>
      <c r="S43" s="267"/>
      <c r="T43" s="53"/>
      <c r="U43" s="161"/>
      <c r="W43" s="49" t="s">
        <v>43</v>
      </c>
      <c r="X43" s="21">
        <v>280</v>
      </c>
      <c r="Y43" s="22">
        <v>219</v>
      </c>
      <c r="Z43" s="22"/>
      <c r="AA43" s="22"/>
      <c r="AB43" s="23">
        <v>0.7821428571428571</v>
      </c>
      <c r="AC43" s="22">
        <v>207.1</v>
      </c>
      <c r="AD43" s="28" t="s">
        <v>148</v>
      </c>
    </row>
    <row r="44" spans="2:30" ht="15" customHeight="1" thickBot="1">
      <c r="B44" s="30" t="s">
        <v>15</v>
      </c>
      <c r="C44" s="30" t="s">
        <v>29</v>
      </c>
      <c r="D44" s="30" t="s">
        <v>17</v>
      </c>
      <c r="E44" s="31" t="s">
        <v>2</v>
      </c>
      <c r="F44" s="31" t="s">
        <v>21</v>
      </c>
      <c r="G44" s="31" t="s">
        <v>30</v>
      </c>
      <c r="H44" s="32" t="s">
        <v>6</v>
      </c>
      <c r="I44" s="31" t="s">
        <v>11</v>
      </c>
      <c r="J44" s="7"/>
      <c r="K44" s="7"/>
      <c r="L44" s="7"/>
      <c r="M44" s="8"/>
      <c r="N44" s="65" t="s">
        <v>8</v>
      </c>
      <c r="O44" s="66" t="s">
        <v>9</v>
      </c>
      <c r="P44" s="66" t="s">
        <v>10</v>
      </c>
      <c r="Q44" s="65" t="s">
        <v>11</v>
      </c>
      <c r="R44" s="65" t="s">
        <v>68</v>
      </c>
      <c r="S44" s="65" t="s">
        <v>41</v>
      </c>
      <c r="T44" s="164"/>
      <c r="U44" s="161"/>
      <c r="W44" s="49" t="s">
        <v>44</v>
      </c>
      <c r="X44" s="21">
        <v>304</v>
      </c>
      <c r="Y44" s="22">
        <v>214</v>
      </c>
      <c r="Z44" s="22"/>
      <c r="AA44" s="22"/>
      <c r="AB44" s="23">
        <v>0.7039473684210527</v>
      </c>
      <c r="AC44" s="22">
        <v>226.7</v>
      </c>
      <c r="AD44" s="28" t="s">
        <v>151</v>
      </c>
    </row>
    <row r="45" spans="2:30" ht="15" customHeight="1" thickTop="1">
      <c r="B45" s="107">
        <f>'[1]POOL-joueus'!$B$24</f>
        <v>31.676712328767124</v>
      </c>
      <c r="C45" s="107" t="str">
        <f>'[1]POOL-joueus'!$C$24</f>
        <v>Bos</v>
      </c>
      <c r="D45" s="124" t="str">
        <f>'[1]POOL-joueus'!$D$24</f>
        <v>Marc Savard</v>
      </c>
      <c r="E45" s="107">
        <f>'[1]POOL-joueus'!$E$24</f>
        <v>69</v>
      </c>
      <c r="F45" s="107">
        <f>'[1]POOL-joueus'!$F$24</f>
        <v>21</v>
      </c>
      <c r="G45" s="107">
        <f>'[1]POOL-joueus'!$G$24</f>
        <v>54</v>
      </c>
      <c r="H45" s="44">
        <f aca="true" t="shared" si="8" ref="H45:H55">SUM(F45:G45)</f>
        <v>75</v>
      </c>
      <c r="I45" s="45">
        <f aca="true" t="shared" si="9" ref="I45:I55">H45/E45</f>
        <v>1.0869565217391304</v>
      </c>
      <c r="J45" s="7"/>
      <c r="K45" s="7"/>
      <c r="L45" s="7"/>
      <c r="M45" s="8"/>
      <c r="N45" s="48" t="s">
        <v>233</v>
      </c>
      <c r="O45" s="21">
        <v>218</v>
      </c>
      <c r="P45" s="22">
        <v>170</v>
      </c>
      <c r="Q45" s="23">
        <f>P45/O45</f>
        <v>0.7798165137614679</v>
      </c>
      <c r="R45" s="22">
        <v>169.2</v>
      </c>
      <c r="S45" s="22" t="s">
        <v>150</v>
      </c>
      <c r="T45" s="53"/>
      <c r="U45" s="161"/>
      <c r="W45" s="49" t="s">
        <v>45</v>
      </c>
      <c r="X45" s="21">
        <v>281</v>
      </c>
      <c r="Y45" s="22">
        <v>237</v>
      </c>
      <c r="Z45" s="22"/>
      <c r="AA45" s="22"/>
      <c r="AB45" s="23">
        <v>0.8434163701067615</v>
      </c>
      <c r="AC45" s="22">
        <v>201.4</v>
      </c>
      <c r="AD45" s="28" t="s">
        <v>95</v>
      </c>
    </row>
    <row r="46" spans="2:30" ht="15" customHeight="1">
      <c r="B46" s="109">
        <f>'[1]POOL-joueus'!$B$101</f>
        <v>31.56986301369863</v>
      </c>
      <c r="C46" s="109" t="str">
        <f>'[1]POOL-joueus'!$C$101</f>
        <v>Stl</v>
      </c>
      <c r="D46" s="111" t="str">
        <f>'[1]POOL-joueus'!$D$101</f>
        <v>Andy McDonald</v>
      </c>
      <c r="E46" s="109">
        <f>('[1]POOL-joueus'!$E$101)</f>
        <v>31</v>
      </c>
      <c r="F46" s="109">
        <f>('[1]POOL-joueus'!$F$101)</f>
        <v>11</v>
      </c>
      <c r="G46" s="109">
        <f>('[1]POOL-joueus'!$G$101)</f>
        <v>21</v>
      </c>
      <c r="H46" s="44">
        <f t="shared" si="8"/>
        <v>32</v>
      </c>
      <c r="I46" s="45">
        <f t="shared" si="9"/>
        <v>1.032258064516129</v>
      </c>
      <c r="J46" s="7"/>
      <c r="K46" s="7"/>
      <c r="L46" s="7"/>
      <c r="M46" s="8"/>
      <c r="N46" s="49" t="s">
        <v>175</v>
      </c>
      <c r="O46" s="21">
        <v>289</v>
      </c>
      <c r="P46" s="22">
        <v>228</v>
      </c>
      <c r="Q46" s="23">
        <f>P46/O46</f>
        <v>0.7889273356401384</v>
      </c>
      <c r="R46" s="22">
        <v>220.7</v>
      </c>
      <c r="S46" s="28" t="s">
        <v>148</v>
      </c>
      <c r="T46" s="53"/>
      <c r="U46" s="161"/>
      <c r="W46" s="49" t="s">
        <v>46</v>
      </c>
      <c r="X46" s="21">
        <v>286</v>
      </c>
      <c r="Y46" s="22">
        <v>219</v>
      </c>
      <c r="Z46" s="22"/>
      <c r="AA46" s="22"/>
      <c r="AB46" s="23">
        <v>0.7657342657342657</v>
      </c>
      <c r="AC46" s="22">
        <v>207.9</v>
      </c>
      <c r="AD46" s="28" t="s">
        <v>148</v>
      </c>
    </row>
    <row r="47" spans="2:30" ht="15" customHeight="1">
      <c r="B47" s="108">
        <f>'[1]POOL-joueus'!$B$188</f>
        <v>26.736986301369864</v>
      </c>
      <c r="C47" s="108" t="str">
        <f>'[1]POOL-joueus'!$C$188</f>
        <v>L.A.</v>
      </c>
      <c r="D47" s="110" t="str">
        <f>'[1]POOL-joueus'!$D$188</f>
        <v>Jarret Stoll</v>
      </c>
      <c r="E47" s="109">
        <f>(('[1]POOL-joueus'!$E$188)-46)-6</f>
        <v>14</v>
      </c>
      <c r="F47" s="109">
        <f>(('[1]POOL-joueus'!$F$188)-10)-3</f>
        <v>5</v>
      </c>
      <c r="G47" s="109">
        <f>(('[1]POOL-joueus'!$G$188)-14)-4</f>
        <v>4</v>
      </c>
      <c r="H47" s="44">
        <f>SUM(F47:G47)</f>
        <v>9</v>
      </c>
      <c r="I47" s="45">
        <f>H47/E47</f>
        <v>0.6428571428571429</v>
      </c>
      <c r="J47" s="7"/>
      <c r="K47" s="7"/>
      <c r="L47" s="7"/>
      <c r="M47" s="8"/>
      <c r="N47" s="49" t="s">
        <v>176</v>
      </c>
      <c r="O47" s="21">
        <v>294</v>
      </c>
      <c r="P47" s="22">
        <v>279</v>
      </c>
      <c r="Q47" s="23">
        <f>P47/O47</f>
        <v>0.9489795918367347</v>
      </c>
      <c r="R47" s="22">
        <v>236.9</v>
      </c>
      <c r="S47" s="28" t="s">
        <v>146</v>
      </c>
      <c r="T47" s="53"/>
      <c r="U47" s="161"/>
      <c r="W47" s="49" t="s">
        <v>47</v>
      </c>
      <c r="X47" s="21">
        <v>332</v>
      </c>
      <c r="Y47" s="22">
        <v>225</v>
      </c>
      <c r="Z47" s="22"/>
      <c r="AA47" s="22"/>
      <c r="AB47" s="23">
        <v>0.677710843373494</v>
      </c>
      <c r="AC47" s="22">
        <v>223.7</v>
      </c>
      <c r="AD47" s="28" t="s">
        <v>150</v>
      </c>
    </row>
    <row r="48" spans="2:30" ht="15" customHeight="1">
      <c r="B48" s="189">
        <f>'[1]POOL-joueus'!$B$415</f>
        <v>23.65205479452055</v>
      </c>
      <c r="C48" s="189" t="str">
        <f>'[1]POOL-joueus'!$C$415</f>
        <v>Bos</v>
      </c>
      <c r="D48" s="190" t="str">
        <f>'[1]POOL-joueus'!$D$415</f>
        <v>Patrice Bergeron</v>
      </c>
      <c r="E48" s="189">
        <v>35</v>
      </c>
      <c r="F48" s="189">
        <v>4</v>
      </c>
      <c r="G48" s="189">
        <v>16</v>
      </c>
      <c r="H48" s="187">
        <f t="shared" si="8"/>
        <v>20</v>
      </c>
      <c r="I48" s="188">
        <f t="shared" si="9"/>
        <v>0.5714285714285714</v>
      </c>
      <c r="J48" s="145"/>
      <c r="K48" s="7"/>
      <c r="L48" s="7"/>
      <c r="M48" s="8"/>
      <c r="N48" s="49" t="s">
        <v>177</v>
      </c>
      <c r="O48" s="21">
        <v>276</v>
      </c>
      <c r="P48" s="22">
        <v>243</v>
      </c>
      <c r="Q48" s="23">
        <f>P48/O48</f>
        <v>0.8804347826086957</v>
      </c>
      <c r="R48" s="241">
        <v>209</v>
      </c>
      <c r="S48" s="28" t="s">
        <v>146</v>
      </c>
      <c r="T48" s="53"/>
      <c r="U48" s="161"/>
      <c r="W48" s="49" t="s">
        <v>48</v>
      </c>
      <c r="X48" s="21">
        <v>65</v>
      </c>
      <c r="Y48" s="22">
        <v>48</v>
      </c>
      <c r="Z48" s="22"/>
      <c r="AA48" s="22"/>
      <c r="AB48" s="23">
        <v>0.7384615384615385</v>
      </c>
      <c r="AC48" s="22">
        <v>42.1</v>
      </c>
      <c r="AD48" s="28" t="s">
        <v>146</v>
      </c>
    </row>
    <row r="49" spans="2:21" ht="15" customHeight="1">
      <c r="B49" s="183">
        <f>'[1]POOL-joueus'!$B$318</f>
        <v>38.16712328767123</v>
      </c>
      <c r="C49" s="183" t="str">
        <f>'[1]POOL-joueus'!$C$318</f>
        <v>Nyi</v>
      </c>
      <c r="D49" s="184" t="str">
        <f>'[1]POOL-joueus'!$D$318</f>
        <v>Doug Weight</v>
      </c>
      <c r="E49" s="183">
        <v>26</v>
      </c>
      <c r="F49" s="183">
        <v>6</v>
      </c>
      <c r="G49" s="183">
        <v>14</v>
      </c>
      <c r="H49" s="187">
        <f t="shared" si="8"/>
        <v>20</v>
      </c>
      <c r="I49" s="188">
        <f t="shared" si="9"/>
        <v>0.7692307692307693</v>
      </c>
      <c r="J49" s="7"/>
      <c r="K49" s="7"/>
      <c r="L49" s="7"/>
      <c r="M49" s="8"/>
      <c r="N49" s="49" t="s">
        <v>178</v>
      </c>
      <c r="O49" s="21"/>
      <c r="P49" s="22"/>
      <c r="Q49" s="23"/>
      <c r="R49" s="22"/>
      <c r="S49" s="28"/>
      <c r="T49" s="53"/>
      <c r="U49" s="161"/>
    </row>
    <row r="50" spans="2:21" ht="15" customHeight="1">
      <c r="B50" s="189">
        <f>'[1]POOL-joueus'!$B$33</f>
        <v>34.443835616438356</v>
      </c>
      <c r="C50" s="189" t="str">
        <f>'[1]POOL-joueus'!$C$33</f>
        <v>Nsh</v>
      </c>
      <c r="D50" s="190" t="str">
        <f>'[1]POOL-joueus'!$D$33</f>
        <v>Jason Arnott</v>
      </c>
      <c r="E50" s="185">
        <v>50</v>
      </c>
      <c r="F50" s="185">
        <v>21</v>
      </c>
      <c r="G50" s="185">
        <v>17</v>
      </c>
      <c r="H50" s="187">
        <f t="shared" si="8"/>
        <v>38</v>
      </c>
      <c r="I50" s="188">
        <f t="shared" si="9"/>
        <v>0.76</v>
      </c>
      <c r="J50" s="145"/>
      <c r="K50" s="7"/>
      <c r="L50" s="7"/>
      <c r="M50" s="8"/>
      <c r="N50" s="49" t="s">
        <v>180</v>
      </c>
      <c r="O50" s="21"/>
      <c r="P50" s="22"/>
      <c r="Q50" s="23"/>
      <c r="R50" s="22"/>
      <c r="S50" s="28"/>
      <c r="T50" s="53"/>
      <c r="U50" s="161"/>
    </row>
    <row r="51" spans="2:21" ht="15" customHeight="1">
      <c r="B51" s="109">
        <f>'[1]POOL-joueus'!$B$127</f>
        <v>28.589041095890412</v>
      </c>
      <c r="C51" s="109" t="str">
        <f>'[1]POOL-joueus'!$C$127</f>
        <v>Nsh</v>
      </c>
      <c r="D51" s="111" t="str">
        <f>'[1]POOL-joueus'!$D$127</f>
        <v>David Legwand</v>
      </c>
      <c r="E51" s="109">
        <f>('[1]POOL-joueus'!$E$127)-53</f>
        <v>15</v>
      </c>
      <c r="F51" s="109">
        <f>('[1]POOL-joueus'!$F$127)-15</f>
        <v>4</v>
      </c>
      <c r="G51" s="109">
        <f>('[1]POOL-joueus'!$G$127)-15</f>
        <v>5</v>
      </c>
      <c r="H51" s="44">
        <f t="shared" si="8"/>
        <v>9</v>
      </c>
      <c r="I51" s="45">
        <f t="shared" si="9"/>
        <v>0.6</v>
      </c>
      <c r="J51" s="145"/>
      <c r="K51" s="7"/>
      <c r="L51" s="7"/>
      <c r="M51" s="8"/>
      <c r="N51" s="49" t="s">
        <v>179</v>
      </c>
      <c r="O51" s="21"/>
      <c r="P51" s="22"/>
      <c r="Q51" s="23"/>
      <c r="R51" s="22"/>
      <c r="S51" s="28"/>
      <c r="T51" s="53"/>
      <c r="U51" s="161"/>
    </row>
    <row r="52" spans="2:21" ht="15" customHeight="1">
      <c r="B52" s="183">
        <f>'[1]POOL-joueus'!$B$169</f>
        <v>36.465753424657535</v>
      </c>
      <c r="C52" s="183" t="str">
        <f>'[1]POOL-joueus'!$C$169</f>
        <v>Wsh</v>
      </c>
      <c r="D52" s="184" t="str">
        <f>'[1]POOL-joueus'!$D$169</f>
        <v>Michael Nylander</v>
      </c>
      <c r="E52" s="183">
        <v>14</v>
      </c>
      <c r="F52" s="183">
        <v>2</v>
      </c>
      <c r="G52" s="183">
        <v>4</v>
      </c>
      <c r="H52" s="187">
        <f t="shared" si="8"/>
        <v>6</v>
      </c>
      <c r="I52" s="188">
        <f t="shared" si="9"/>
        <v>0.42857142857142855</v>
      </c>
      <c r="J52" s="145"/>
      <c r="K52" s="7"/>
      <c r="L52" s="7"/>
      <c r="M52" s="8"/>
      <c r="U52" s="161"/>
    </row>
    <row r="53" spans="2:31" ht="15" customHeight="1">
      <c r="B53" s="189">
        <f>'[1]POOL-joueus'!$B$34</f>
        <v>31.454794520547946</v>
      </c>
      <c r="C53" s="189" t="str">
        <f>'[1]POOL-joueus'!$C$34</f>
        <v>Phi</v>
      </c>
      <c r="D53" s="190" t="str">
        <f>'[1]POOL-joueus'!$D$34</f>
        <v>Daniel Briere</v>
      </c>
      <c r="E53" s="185">
        <v>9</v>
      </c>
      <c r="F53" s="185">
        <v>5</v>
      </c>
      <c r="G53" s="185">
        <v>4</v>
      </c>
      <c r="H53" s="187">
        <f t="shared" si="8"/>
        <v>9</v>
      </c>
      <c r="I53" s="188">
        <f t="shared" si="9"/>
        <v>1</v>
      </c>
      <c r="J53" s="7"/>
      <c r="K53" s="7"/>
      <c r="L53" s="7"/>
      <c r="M53" s="8"/>
      <c r="N53" s="1" t="s">
        <v>69</v>
      </c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</row>
    <row r="54" spans="2:21" ht="15" customHeight="1" thickBot="1">
      <c r="B54" s="180">
        <f>'[1]POOL-joueus'!$B$135</f>
        <v>26.02191780821918</v>
      </c>
      <c r="C54" s="180" t="str">
        <f>'[1]POOL-joueus'!$C$135</f>
        <v>Min</v>
      </c>
      <c r="D54" s="181" t="str">
        <f>'[1]POOL-joueus'!$D$135</f>
        <v>Mikko Koivu</v>
      </c>
      <c r="E54" s="196">
        <v>8</v>
      </c>
      <c r="F54" s="196">
        <v>1</v>
      </c>
      <c r="G54" s="196">
        <v>5</v>
      </c>
      <c r="H54" s="197">
        <f t="shared" si="8"/>
        <v>6</v>
      </c>
      <c r="I54" s="198">
        <f t="shared" si="9"/>
        <v>0.75</v>
      </c>
      <c r="J54" s="7"/>
      <c r="K54" s="7"/>
      <c r="L54" s="7"/>
      <c r="M54" s="2"/>
      <c r="O54"/>
      <c r="P54"/>
      <c r="Q54"/>
      <c r="R54"/>
      <c r="S54"/>
      <c r="T54"/>
      <c r="U54" s="161"/>
    </row>
    <row r="55" spans="2:31" ht="15" customHeight="1">
      <c r="B55" s="274" t="s">
        <v>26</v>
      </c>
      <c r="C55" s="275"/>
      <c r="D55" s="255"/>
      <c r="E55" s="14">
        <f>SUM(E45:E54)</f>
        <v>271</v>
      </c>
      <c r="F55" s="14">
        <f>SUM(F45:F54)</f>
        <v>80</v>
      </c>
      <c r="G55" s="14">
        <f>SUM(G45:G54)</f>
        <v>144</v>
      </c>
      <c r="H55" s="33">
        <f t="shared" si="8"/>
        <v>224</v>
      </c>
      <c r="I55" s="50">
        <f t="shared" si="9"/>
        <v>0.8265682656826568</v>
      </c>
      <c r="J55" s="7"/>
      <c r="K55" s="7"/>
      <c r="L55" s="7"/>
      <c r="M55" s="2"/>
      <c r="O55"/>
      <c r="P55"/>
      <c r="Q55"/>
      <c r="R55"/>
      <c r="S55"/>
      <c r="T55"/>
      <c r="U55" s="161"/>
      <c r="W55" s="97" t="s">
        <v>99</v>
      </c>
      <c r="X55" s="98" t="s">
        <v>95</v>
      </c>
      <c r="Y55" s="98">
        <v>1368.4</v>
      </c>
      <c r="Z55" s="225"/>
      <c r="AA55" s="225"/>
      <c r="AC55" s="95" t="s">
        <v>109</v>
      </c>
      <c r="AD55" s="101" t="s">
        <v>103</v>
      </c>
      <c r="AE55" s="101">
        <v>75</v>
      </c>
    </row>
    <row r="56" spans="2:31" ht="1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2"/>
      <c r="O56"/>
      <c r="P56"/>
      <c r="Q56"/>
      <c r="R56"/>
      <c r="S56"/>
      <c r="T56"/>
      <c r="U56" s="161"/>
      <c r="W56" s="95" t="s">
        <v>100</v>
      </c>
      <c r="X56" s="96" t="s">
        <v>115</v>
      </c>
      <c r="Y56" s="96">
        <v>1639</v>
      </c>
      <c r="Z56" s="224"/>
      <c r="AA56" s="224"/>
      <c r="AC56" s="95" t="s">
        <v>110</v>
      </c>
      <c r="AD56" s="101" t="s">
        <v>124</v>
      </c>
      <c r="AE56" s="101">
        <v>126</v>
      </c>
    </row>
    <row r="57" spans="2:31" ht="15" customHeight="1" thickBot="1">
      <c r="B57" s="256" t="s">
        <v>25</v>
      </c>
      <c r="C57" s="257"/>
      <c r="D57" s="257"/>
      <c r="E57" s="257"/>
      <c r="F57" s="257"/>
      <c r="G57" s="257"/>
      <c r="H57" s="257"/>
      <c r="I57" s="258"/>
      <c r="J57" s="7"/>
      <c r="K57" s="7"/>
      <c r="L57" s="7"/>
      <c r="M57" s="2"/>
      <c r="O57"/>
      <c r="P57"/>
      <c r="Q57"/>
      <c r="R57"/>
      <c r="S57"/>
      <c r="T57"/>
      <c r="U57" s="161"/>
      <c r="W57" s="95" t="s">
        <v>101</v>
      </c>
      <c r="X57" s="96" t="s">
        <v>116</v>
      </c>
      <c r="Y57" s="96" t="s">
        <v>123</v>
      </c>
      <c r="Z57" s="224"/>
      <c r="AA57" s="224"/>
      <c r="AC57" s="95" t="s">
        <v>111</v>
      </c>
      <c r="AD57" s="315" t="s">
        <v>118</v>
      </c>
      <c r="AE57" s="316"/>
    </row>
    <row r="58" spans="2:21" ht="15" customHeight="1" thickBot="1">
      <c r="B58" s="30" t="s">
        <v>15</v>
      </c>
      <c r="C58" s="30" t="s">
        <v>29</v>
      </c>
      <c r="D58" s="30" t="s">
        <v>17</v>
      </c>
      <c r="E58" s="31" t="s">
        <v>2</v>
      </c>
      <c r="F58" s="31" t="s">
        <v>21</v>
      </c>
      <c r="G58" s="31" t="s">
        <v>30</v>
      </c>
      <c r="H58" s="32" t="s">
        <v>6</v>
      </c>
      <c r="I58" s="31" t="s">
        <v>11</v>
      </c>
      <c r="J58" s="7"/>
      <c r="K58" s="7"/>
      <c r="L58" s="7"/>
      <c r="M58" s="2"/>
      <c r="O58"/>
      <c r="P58"/>
      <c r="Q58"/>
      <c r="R58"/>
      <c r="S58"/>
      <c r="T58"/>
      <c r="U58" s="161"/>
    </row>
    <row r="59" spans="2:21" ht="15" customHeight="1" thickTop="1">
      <c r="B59" s="107">
        <f>'[1]POOL-joueus'!$B$82</f>
        <v>35.47945205479452</v>
      </c>
      <c r="C59" s="107" t="str">
        <f>'[1]POOL-joueus'!$C$82</f>
        <v>Det</v>
      </c>
      <c r="D59" s="124" t="str">
        <f>'[1]POOL-joueus'!$D$82</f>
        <v>Brian Rafalski</v>
      </c>
      <c r="E59" s="107">
        <f>'[1]POOL-joueus'!$E$82</f>
        <v>68</v>
      </c>
      <c r="F59" s="107">
        <f>'[1]POOL-joueus'!$F$82</f>
        <v>9</v>
      </c>
      <c r="G59" s="107">
        <f>'[1]POOL-joueus'!$G$82</f>
        <v>44</v>
      </c>
      <c r="H59" s="44">
        <f aca="true" t="shared" si="10" ref="H59:H69">SUM(F59:G59)</f>
        <v>53</v>
      </c>
      <c r="I59" s="45">
        <f aca="true" t="shared" si="11" ref="I59:I69">H59/E59</f>
        <v>0.7794117647058824</v>
      </c>
      <c r="J59" s="7"/>
      <c r="K59" s="7"/>
      <c r="L59" s="7"/>
      <c r="M59" s="2"/>
      <c r="O59"/>
      <c r="P59"/>
      <c r="Q59"/>
      <c r="R59"/>
      <c r="S59"/>
      <c r="T59"/>
      <c r="U59" s="161"/>
    </row>
    <row r="60" spans="2:21" ht="15" customHeight="1">
      <c r="B60" s="107">
        <f>'[1]POOL-joueus'!$B$42</f>
        <v>38.9013698630137</v>
      </c>
      <c r="C60" s="107" t="str">
        <f>'[1]POOL-joueus'!$C$42</f>
        <v>Det</v>
      </c>
      <c r="D60" s="124" t="str">
        <f>'[1]POOL-joueus'!$D$42</f>
        <v>Nicklas Lidstrom</v>
      </c>
      <c r="E60" s="107">
        <f>(('[1]POOL-joueus'!$E$42))</f>
        <v>65</v>
      </c>
      <c r="F60" s="107">
        <f>(('[1]POOL-joueus'!$F$42))</f>
        <v>13</v>
      </c>
      <c r="G60" s="107">
        <f>(('[1]POOL-joueus'!$G$42))</f>
        <v>35</v>
      </c>
      <c r="H60" s="44">
        <f t="shared" si="10"/>
        <v>48</v>
      </c>
      <c r="I60" s="45">
        <f t="shared" si="11"/>
        <v>0.7384615384615385</v>
      </c>
      <c r="J60" s="7"/>
      <c r="K60" s="7"/>
      <c r="L60" s="7"/>
      <c r="M60" s="2"/>
      <c r="O60"/>
      <c r="P60"/>
      <c r="Q60"/>
      <c r="R60"/>
      <c r="S60"/>
      <c r="T60"/>
      <c r="U60" s="162"/>
    </row>
    <row r="61" spans="2:21" ht="15" customHeight="1">
      <c r="B61" s="109">
        <f>'[1]POOL-joueus'!$B$236</f>
        <v>24.156164383561645</v>
      </c>
      <c r="C61" s="109" t="str">
        <f>'[1]POOL-joueus'!$C$236</f>
        <v>Nsh</v>
      </c>
      <c r="D61" s="111" t="str">
        <f>'[1]POOL-joueus'!$D$236</f>
        <v>Ryan Suter</v>
      </c>
      <c r="E61" s="109">
        <f>'[1]POOL-joueus'!$E$236</f>
        <v>68</v>
      </c>
      <c r="F61" s="109">
        <f>'[1]POOL-joueus'!$F$236</f>
        <v>6</v>
      </c>
      <c r="G61" s="109">
        <f>'[1]POOL-joueus'!$G$236</f>
        <v>31</v>
      </c>
      <c r="H61" s="44">
        <f t="shared" si="10"/>
        <v>37</v>
      </c>
      <c r="I61" s="45">
        <f t="shared" si="11"/>
        <v>0.5441176470588235</v>
      </c>
      <c r="J61" s="7"/>
      <c r="K61" s="7"/>
      <c r="L61" s="7"/>
      <c r="M61" s="2"/>
      <c r="O61"/>
      <c r="P61"/>
      <c r="Q61"/>
      <c r="R61"/>
      <c r="S61"/>
      <c r="T61"/>
      <c r="U61" s="162"/>
    </row>
    <row r="62" spans="2:21" ht="15" customHeight="1">
      <c r="B62" s="107">
        <f>'[1]POOL-joueus'!$B$105</f>
        <v>32.00821917808219</v>
      </c>
      <c r="C62" s="107" t="str">
        <f>'[1]POOL-joueus'!$C$105</f>
        <v>Bos</v>
      </c>
      <c r="D62" s="124" t="str">
        <f>'[1]POOL-joueus'!$D$105</f>
        <v>Zdeno Chara</v>
      </c>
      <c r="E62" s="107">
        <f>'[1]POOL-joueus'!$E$105</f>
        <v>69</v>
      </c>
      <c r="F62" s="107">
        <f>'[1]POOL-joueus'!$F$105</f>
        <v>16</v>
      </c>
      <c r="G62" s="107">
        <f>'[1]POOL-joueus'!$G$105</f>
        <v>25</v>
      </c>
      <c r="H62" s="44">
        <f t="shared" si="10"/>
        <v>41</v>
      </c>
      <c r="I62" s="45">
        <f t="shared" si="11"/>
        <v>0.5942028985507246</v>
      </c>
      <c r="J62" s="7"/>
      <c r="K62" s="7"/>
      <c r="L62" s="7"/>
      <c r="M62" s="2"/>
      <c r="O62"/>
      <c r="P62"/>
      <c r="Q62"/>
      <c r="R62"/>
      <c r="S62"/>
      <c r="T62"/>
      <c r="U62" s="161"/>
    </row>
    <row r="63" spans="2:21" ht="15" customHeight="1">
      <c r="B63" s="109">
        <f>'[1]POOL-joueus'!$B$107</f>
        <v>32.73424657534247</v>
      </c>
      <c r="C63" s="109" t="str">
        <f>'[1]POOL-joueus'!$C$107</f>
        <v>Phx</v>
      </c>
      <c r="D63" s="111" t="str">
        <f>'[1]POOL-joueus'!$D$107</f>
        <v>Ed Jovanovski</v>
      </c>
      <c r="E63" s="109">
        <f>('[1]POOL-joueus'!$E$107)-58</f>
        <v>10</v>
      </c>
      <c r="F63" s="109">
        <f>('[1]POOL-joueus'!$F$107)-5</f>
        <v>1</v>
      </c>
      <c r="G63" s="109">
        <f>('[1]POOL-joueus'!$G$107)-23</f>
        <v>1</v>
      </c>
      <c r="H63" s="44">
        <f>SUM(F63:G63)</f>
        <v>2</v>
      </c>
      <c r="I63" s="45">
        <f>H63/E63</f>
        <v>0.2</v>
      </c>
      <c r="J63" s="7"/>
      <c r="K63" s="7"/>
      <c r="L63" s="7"/>
      <c r="M63" s="2"/>
      <c r="O63"/>
      <c r="P63"/>
      <c r="Q63"/>
      <c r="R63"/>
      <c r="S63"/>
      <c r="T63"/>
      <c r="U63" s="161"/>
    </row>
    <row r="64" spans="2:21" ht="12.75">
      <c r="B64" s="185">
        <f>'[1]POOL-joueus'!$B$409</f>
        <v>22.778082191780822</v>
      </c>
      <c r="C64" s="185" t="str">
        <f>'[1]POOL-joueus'!$C$409</f>
        <v>Buf</v>
      </c>
      <c r="D64" s="186" t="str">
        <f>'[1]POOL-joueus'!$D$409</f>
        <v>Andrej Sekeras</v>
      </c>
      <c r="E64" s="185">
        <v>44</v>
      </c>
      <c r="F64" s="185">
        <v>1</v>
      </c>
      <c r="G64" s="185">
        <v>12</v>
      </c>
      <c r="H64" s="187">
        <f t="shared" si="10"/>
        <v>13</v>
      </c>
      <c r="I64" s="188">
        <f t="shared" si="11"/>
        <v>0.29545454545454547</v>
      </c>
      <c r="J64" s="7"/>
      <c r="K64" s="7"/>
      <c r="L64" s="7"/>
      <c r="M64" s="2"/>
      <c r="O64"/>
      <c r="P64"/>
      <c r="Q64"/>
      <c r="R64"/>
      <c r="S64"/>
      <c r="T64"/>
      <c r="U64" s="161"/>
    </row>
    <row r="65" spans="2:21" ht="15.75" customHeight="1">
      <c r="B65" s="107">
        <f>'[1]POOL-joueus'!$B$323</f>
        <v>22.90958904109589</v>
      </c>
      <c r="C65" s="107" t="str">
        <f>'[1]POOL-joueus'!$C$323</f>
        <v>Van</v>
      </c>
      <c r="D65" s="124" t="str">
        <f>'[1]POOL-joueus'!$D$323</f>
        <v>Alexander Edler</v>
      </c>
      <c r="E65" s="107">
        <f>('[1]POOL-joueus'!$E$323)</f>
        <v>64</v>
      </c>
      <c r="F65" s="107">
        <f>('[1]POOL-joueus'!$F$323)</f>
        <v>8</v>
      </c>
      <c r="G65" s="107">
        <f>('[1]POOL-joueus'!$G$323)</f>
        <v>22</v>
      </c>
      <c r="H65" s="44">
        <f t="shared" si="10"/>
        <v>30</v>
      </c>
      <c r="I65" s="45">
        <f t="shared" si="11"/>
        <v>0.46875</v>
      </c>
      <c r="J65" s="7"/>
      <c r="K65" s="7"/>
      <c r="L65" s="7"/>
      <c r="M65" s="2"/>
      <c r="O65"/>
      <c r="P65"/>
      <c r="Q65"/>
      <c r="R65"/>
      <c r="S65"/>
      <c r="T65"/>
      <c r="U65" s="161"/>
    </row>
    <row r="66" spans="2:21" ht="15" customHeight="1">
      <c r="B66" s="189">
        <f>'[1]POOL-joueus'!$B$271</f>
        <v>25.073972602739726</v>
      </c>
      <c r="C66" s="189" t="str">
        <f>'[1]POOL-joueus'!$C$271</f>
        <v>Ana</v>
      </c>
      <c r="D66" s="190" t="str">
        <f>'[1]POOL-joueus'!$D$271</f>
        <v>James Wisniewski</v>
      </c>
      <c r="E66" s="185">
        <v>9</v>
      </c>
      <c r="F66" s="185">
        <v>0</v>
      </c>
      <c r="G66" s="185">
        <v>2</v>
      </c>
      <c r="H66" s="187">
        <f>SUM(F66:G66)</f>
        <v>2</v>
      </c>
      <c r="I66" s="188">
        <f>H66/E66</f>
        <v>0.2222222222222222</v>
      </c>
      <c r="J66" s="7"/>
      <c r="K66" s="7"/>
      <c r="L66" s="7"/>
      <c r="M66" s="2"/>
      <c r="O66"/>
      <c r="P66"/>
      <c r="Q66"/>
      <c r="R66"/>
      <c r="S66"/>
      <c r="T66"/>
      <c r="U66" s="161"/>
    </row>
    <row r="67" spans="2:21" ht="15" customHeight="1">
      <c r="B67" s="189">
        <f>'[1]POOL-joueus'!$B$572</f>
        <v>27.753424657534246</v>
      </c>
      <c r="C67" s="189" t="str">
        <f>'[1]POOL-joueus'!$C$572</f>
        <v>Car</v>
      </c>
      <c r="D67" s="190" t="str">
        <f>'[1]POOL-joueus'!$D$572</f>
        <v>Dennis Seidenberg</v>
      </c>
      <c r="E67" s="185">
        <v>4</v>
      </c>
      <c r="F67" s="185">
        <v>0</v>
      </c>
      <c r="G67" s="185">
        <v>1</v>
      </c>
      <c r="H67" s="187">
        <f>SUM(F67:G67)</f>
        <v>1</v>
      </c>
      <c r="I67" s="188">
        <f>H67/E67</f>
        <v>0.25</v>
      </c>
      <c r="J67" s="7"/>
      <c r="K67" s="7"/>
      <c r="L67" s="7"/>
      <c r="M67" s="2"/>
      <c r="O67"/>
      <c r="P67"/>
      <c r="Q67"/>
      <c r="R67"/>
      <c r="S67"/>
      <c r="T67"/>
      <c r="U67" s="161"/>
    </row>
    <row r="68" spans="2:21" ht="15" customHeight="1" thickBot="1">
      <c r="B68" s="189">
        <f>'[1]POOL-joueus'!$B$294</f>
        <v>29.36986301369863</v>
      </c>
      <c r="C68" s="189" t="str">
        <f>'[1]POOL-joueus'!$C$294</f>
        <v>Det</v>
      </c>
      <c r="D68" s="190" t="str">
        <f>'[1]POOL-joueus'!$D$294</f>
        <v>Brad Stuart</v>
      </c>
      <c r="E68" s="204">
        <v>1</v>
      </c>
      <c r="F68" s="204">
        <v>0</v>
      </c>
      <c r="G68" s="204">
        <v>1</v>
      </c>
      <c r="H68" s="197">
        <f t="shared" si="10"/>
        <v>1</v>
      </c>
      <c r="I68" s="198">
        <f t="shared" si="11"/>
        <v>1</v>
      </c>
      <c r="J68" s="7"/>
      <c r="K68" s="7"/>
      <c r="L68" s="7"/>
      <c r="M68" s="2"/>
      <c r="O68"/>
      <c r="P68"/>
      <c r="Q68"/>
      <c r="R68"/>
      <c r="S68"/>
      <c r="T68"/>
      <c r="U68" s="161"/>
    </row>
    <row r="69" spans="2:21" ht="15" customHeight="1">
      <c r="B69" s="274" t="s">
        <v>26</v>
      </c>
      <c r="C69" s="275"/>
      <c r="D69" s="255"/>
      <c r="E69" s="14">
        <f>SUM(E59:E68)</f>
        <v>402</v>
      </c>
      <c r="F69" s="14">
        <f>SUM(F59:F68)</f>
        <v>54</v>
      </c>
      <c r="G69" s="14">
        <f>SUM(G59:G68)</f>
        <v>174</v>
      </c>
      <c r="H69" s="33">
        <f t="shared" si="10"/>
        <v>228</v>
      </c>
      <c r="I69" s="50">
        <f t="shared" si="11"/>
        <v>0.5671641791044776</v>
      </c>
      <c r="J69" s="7"/>
      <c r="K69" s="7"/>
      <c r="L69" s="7"/>
      <c r="M69" s="2"/>
      <c r="O69"/>
      <c r="P69"/>
      <c r="Q69"/>
      <c r="R69"/>
      <c r="S69"/>
      <c r="T69"/>
      <c r="U69" s="161"/>
    </row>
    <row r="70" spans="2:21" ht="15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2"/>
      <c r="O70"/>
      <c r="P70"/>
      <c r="Q70"/>
      <c r="R70"/>
      <c r="S70"/>
      <c r="T70"/>
      <c r="U70" s="161"/>
    </row>
    <row r="71" spans="2:21" ht="15" customHeight="1" thickBot="1">
      <c r="B71" s="302" t="s">
        <v>141</v>
      </c>
      <c r="C71" s="303"/>
      <c r="D71" s="303"/>
      <c r="E71" s="303"/>
      <c r="F71" s="303"/>
      <c r="G71" s="303"/>
      <c r="H71" s="303"/>
      <c r="I71" s="303"/>
      <c r="J71" s="303"/>
      <c r="K71" s="304"/>
      <c r="L71" s="7"/>
      <c r="M71" s="2"/>
      <c r="O71"/>
      <c r="P71"/>
      <c r="Q71"/>
      <c r="R71"/>
      <c r="S71"/>
      <c r="T71"/>
      <c r="U71" s="161"/>
    </row>
    <row r="72" spans="2:21" ht="15" customHeight="1" thickBot="1">
      <c r="B72" s="30" t="s">
        <v>15</v>
      </c>
      <c r="C72" s="30" t="s">
        <v>16</v>
      </c>
      <c r="D72" s="30" t="s">
        <v>17</v>
      </c>
      <c r="E72" s="31" t="s">
        <v>2</v>
      </c>
      <c r="F72" s="31" t="s">
        <v>18</v>
      </c>
      <c r="G72" s="31" t="s">
        <v>19</v>
      </c>
      <c r="H72" s="31" t="s">
        <v>20</v>
      </c>
      <c r="I72" s="31" t="s">
        <v>21</v>
      </c>
      <c r="J72" s="31" t="s">
        <v>22</v>
      </c>
      <c r="K72" s="32" t="s">
        <v>6</v>
      </c>
      <c r="L72" s="7"/>
      <c r="M72" s="2"/>
      <c r="O72"/>
      <c r="P72"/>
      <c r="Q72"/>
      <c r="R72"/>
      <c r="S72"/>
      <c r="T72"/>
      <c r="U72" s="161"/>
    </row>
    <row r="73" spans="2:21" ht="13.5" thickTop="1">
      <c r="B73" s="108">
        <f>'[1]Pool-gardien'!$B$80</f>
        <v>26.375342465753423</v>
      </c>
      <c r="C73" s="108" t="str">
        <f>'[1]Pool-gardien'!$C$80</f>
        <v>Nsh</v>
      </c>
      <c r="D73" s="110" t="str">
        <f>'[1]Pool-gardien'!$D$80</f>
        <v>Pekka Rinne</v>
      </c>
      <c r="E73" s="108">
        <f>'[1]Pool-gardien'!$E$80</f>
        <v>38</v>
      </c>
      <c r="F73" s="108">
        <f>'[1]Pool-gardien'!$F$80</f>
        <v>22</v>
      </c>
      <c r="G73" s="108">
        <f>'[1]Pool-gardien'!$G$80</f>
        <v>1</v>
      </c>
      <c r="H73" s="108">
        <f>'[1]Pool-gardien'!$H$80</f>
        <v>6</v>
      </c>
      <c r="I73" s="108">
        <f>'[1]Pool-gardien'!$I$80</f>
        <v>0</v>
      </c>
      <c r="J73" s="108">
        <f>'[1]Pool-gardien'!$J$80</f>
        <v>1</v>
      </c>
      <c r="K73" s="44">
        <f>(F73*2)+G73+(H73*4)+(I73*10)+J73</f>
        <v>70</v>
      </c>
      <c r="L73" s="7"/>
      <c r="M73" s="2"/>
      <c r="U73" s="161"/>
    </row>
    <row r="74" spans="2:21" ht="15" customHeight="1" thickBot="1">
      <c r="B74" s="108">
        <f>'[1]Pool-gardien'!$B$124</f>
        <v>20.802739726027397</v>
      </c>
      <c r="C74" s="108" t="str">
        <f>'[1]Pool-gardien'!$C$124</f>
        <v>Cbj</v>
      </c>
      <c r="D74" s="110" t="str">
        <f>'[1]Pool-gardien'!$D$124</f>
        <v>Steve Mason</v>
      </c>
      <c r="E74" s="113">
        <f>('[1]Pool-gardien'!$E$124)-8</f>
        <v>40</v>
      </c>
      <c r="F74" s="113">
        <f>('[1]Pool-gardien'!$F$124)-5</f>
        <v>23</v>
      </c>
      <c r="G74" s="113">
        <f>('[1]Pool-gardien'!$G$124)-1</f>
        <v>2</v>
      </c>
      <c r="H74" s="113">
        <f>('[1]Pool-gardien'!$H$124)-1</f>
        <v>8</v>
      </c>
      <c r="I74" s="113">
        <f>('[1]Pool-gardien'!$I$124)-0</f>
        <v>0</v>
      </c>
      <c r="J74" s="113">
        <f>('[1]Pool-gardien'!$J$124)-0</f>
        <v>0</v>
      </c>
      <c r="K74" s="120">
        <f>(F74*2)+G74+(H74*4)+(I74*10)+J74</f>
        <v>80</v>
      </c>
      <c r="L74" s="7"/>
      <c r="M74" s="2"/>
      <c r="U74" s="161"/>
    </row>
    <row r="75" spans="2:21" ht="15" customHeight="1">
      <c r="B75" s="274" t="s">
        <v>26</v>
      </c>
      <c r="C75" s="275"/>
      <c r="D75" s="255"/>
      <c r="E75" s="14">
        <f aca="true" t="shared" si="12" ref="E75:J75">SUM(E72:E74)</f>
        <v>78</v>
      </c>
      <c r="F75" s="14">
        <f t="shared" si="12"/>
        <v>45</v>
      </c>
      <c r="G75" s="14">
        <f t="shared" si="12"/>
        <v>3</v>
      </c>
      <c r="H75" s="14">
        <f t="shared" si="12"/>
        <v>14</v>
      </c>
      <c r="I75" s="14">
        <f t="shared" si="12"/>
        <v>0</v>
      </c>
      <c r="J75" s="14">
        <f t="shared" si="12"/>
        <v>1</v>
      </c>
      <c r="K75" s="33">
        <f>(F75*2)+G75+(H75*4)+(I75*10)+J75</f>
        <v>150</v>
      </c>
      <c r="L75" s="7"/>
      <c r="M75" s="2"/>
      <c r="U75" s="161"/>
    </row>
    <row r="76" spans="2:21" ht="15" customHeight="1" thickBot="1">
      <c r="B76" s="302" t="s">
        <v>140</v>
      </c>
      <c r="C76" s="303"/>
      <c r="D76" s="303"/>
      <c r="E76" s="303"/>
      <c r="F76" s="303"/>
      <c r="G76" s="303"/>
      <c r="H76" s="303"/>
      <c r="I76" s="304"/>
      <c r="L76" s="7"/>
      <c r="M76" s="2"/>
      <c r="U76" s="161"/>
    </row>
    <row r="77" spans="1:21" ht="15" customHeight="1" thickBot="1">
      <c r="A77" s="30" t="s">
        <v>143</v>
      </c>
      <c r="B77" s="30" t="s">
        <v>15</v>
      </c>
      <c r="C77" s="30" t="s">
        <v>29</v>
      </c>
      <c r="D77" s="30" t="s">
        <v>17</v>
      </c>
      <c r="E77" s="31" t="s">
        <v>2</v>
      </c>
      <c r="F77" s="31" t="s">
        <v>21</v>
      </c>
      <c r="G77" s="31" t="s">
        <v>30</v>
      </c>
      <c r="H77" s="32" t="s">
        <v>6</v>
      </c>
      <c r="I77" s="31" t="s">
        <v>11</v>
      </c>
      <c r="L77" s="7"/>
      <c r="M77" s="2"/>
      <c r="T77" s="128"/>
      <c r="U77" s="161"/>
    </row>
    <row r="78" spans="1:21" ht="15" customHeight="1" thickTop="1">
      <c r="A78" s="180" t="s">
        <v>145</v>
      </c>
      <c r="B78" s="180">
        <f>'[1]POOL-joueus'!$B$502</f>
        <v>24.112328767123287</v>
      </c>
      <c r="C78" s="180" t="str">
        <f>'[1]POOL-joueus'!$C$502</f>
        <v>Dal</v>
      </c>
      <c r="D78" s="181" t="str">
        <f>'[1]POOL-joueus'!$D$502</f>
        <v>Fabian Brunnstrom</v>
      </c>
      <c r="E78" s="180">
        <v>22</v>
      </c>
      <c r="F78" s="180">
        <v>6</v>
      </c>
      <c r="G78" s="180">
        <v>1</v>
      </c>
      <c r="H78" s="187">
        <f>SUM(F78:G78)</f>
        <v>7</v>
      </c>
      <c r="I78" s="199">
        <f>H78/E78</f>
        <v>0.3181818181818182</v>
      </c>
      <c r="J78" s="142"/>
      <c r="L78" s="7"/>
      <c r="M78" s="2"/>
      <c r="T78" s="128"/>
      <c r="U78" s="162"/>
    </row>
    <row r="79" spans="1:21" ht="15" customHeight="1">
      <c r="A79" s="43"/>
      <c r="B79" s="107"/>
      <c r="C79" s="107"/>
      <c r="D79" s="124"/>
      <c r="E79" s="107"/>
      <c r="F79" s="107"/>
      <c r="G79" s="107"/>
      <c r="H79" s="44">
        <f>SUM(F79:G79)</f>
        <v>0</v>
      </c>
      <c r="I79" s="29" t="e">
        <f>H79/E79</f>
        <v>#DIV/0!</v>
      </c>
      <c r="J79" s="142"/>
      <c r="L79" s="7"/>
      <c r="M79" s="2"/>
      <c r="T79" s="57"/>
      <c r="U79" s="162"/>
    </row>
    <row r="80" spans="1:21" ht="15" customHeight="1" thickBot="1">
      <c r="A80" s="108"/>
      <c r="B80" s="108"/>
      <c r="C80" s="108"/>
      <c r="D80" s="110"/>
      <c r="E80" s="113"/>
      <c r="F80" s="113"/>
      <c r="G80" s="113"/>
      <c r="H80" s="120">
        <f>SUM(F80:G80)</f>
        <v>0</v>
      </c>
      <c r="I80" s="115" t="e">
        <f>H80/E80</f>
        <v>#DIV/0!</v>
      </c>
      <c r="L80" s="7"/>
      <c r="M80" s="2"/>
      <c r="U80" s="161"/>
    </row>
    <row r="81" spans="2:21" ht="15" customHeight="1">
      <c r="B81" s="278" t="s">
        <v>7</v>
      </c>
      <c r="C81" s="281"/>
      <c r="D81" s="279"/>
      <c r="E81" s="22">
        <f>SUM(E78:E80)</f>
        <v>22</v>
      </c>
      <c r="F81" s="22">
        <f>SUM(F78:F80)</f>
        <v>6</v>
      </c>
      <c r="G81" s="22">
        <f>SUM(G78:G80)</f>
        <v>1</v>
      </c>
      <c r="H81" s="33">
        <f>SUM(H78:H80)</f>
        <v>7</v>
      </c>
      <c r="I81" s="23">
        <f>H81/E81</f>
        <v>0.3181818181818182</v>
      </c>
      <c r="L81" s="7"/>
      <c r="M81" s="2"/>
      <c r="U81" s="161"/>
    </row>
    <row r="82" spans="2:21" ht="15" customHeight="1">
      <c r="B82" s="76"/>
      <c r="C82" s="76"/>
      <c r="D82" s="76"/>
      <c r="E82" s="53"/>
      <c r="F82" s="53"/>
      <c r="G82" s="53"/>
      <c r="H82" s="53"/>
      <c r="I82" s="77"/>
      <c r="L82" s="7"/>
      <c r="M82" s="2"/>
      <c r="U82" s="161"/>
    </row>
    <row r="83" spans="2:21" ht="15" customHeight="1">
      <c r="B83" s="278" t="s">
        <v>142</v>
      </c>
      <c r="C83" s="281"/>
      <c r="D83" s="279"/>
      <c r="E83" s="109">
        <f>E75+E81</f>
        <v>100</v>
      </c>
      <c r="F83" s="112"/>
      <c r="G83" s="112"/>
      <c r="H83" s="44">
        <f>K75+H81</f>
        <v>157</v>
      </c>
      <c r="I83" s="29">
        <f>H83/E83</f>
        <v>1.57</v>
      </c>
      <c r="L83" s="7"/>
      <c r="M83" s="2"/>
      <c r="U83" s="161"/>
    </row>
    <row r="84" spans="2:21" ht="15" customHeight="1" thickBot="1">
      <c r="B84" s="51"/>
      <c r="C84" s="51"/>
      <c r="D84" s="51"/>
      <c r="E84" s="51"/>
      <c r="F84" s="51"/>
      <c r="G84" s="51"/>
      <c r="H84" s="51"/>
      <c r="I84" s="51"/>
      <c r="J84" s="52"/>
      <c r="K84" s="52"/>
      <c r="L84" s="129"/>
      <c r="M84" s="2"/>
      <c r="U84" s="161"/>
    </row>
    <row r="85" spans="2:21" ht="15" customHeight="1">
      <c r="B85" s="280" t="s">
        <v>63</v>
      </c>
      <c r="C85" s="280"/>
      <c r="D85" s="280"/>
      <c r="E85" s="280"/>
      <c r="F85" s="280"/>
      <c r="G85" s="280"/>
      <c r="H85" s="280"/>
      <c r="I85" s="280"/>
      <c r="J85" s="280"/>
      <c r="K85" s="280"/>
      <c r="L85" s="129"/>
      <c r="M85" s="2"/>
      <c r="U85" s="161"/>
    </row>
    <row r="86" spans="2:21" ht="15" customHeight="1">
      <c r="B86" s="53"/>
      <c r="C86" s="53"/>
      <c r="D86" s="53"/>
      <c r="E86" s="53"/>
      <c r="F86" s="53"/>
      <c r="G86" s="53"/>
      <c r="H86" s="53"/>
      <c r="I86" s="53"/>
      <c r="J86" s="7"/>
      <c r="K86" s="7"/>
      <c r="L86" s="129"/>
      <c r="M86" s="2"/>
      <c r="U86" s="161"/>
    </row>
    <row r="87" spans="2:21" ht="15" customHeight="1" thickBot="1">
      <c r="B87" s="53"/>
      <c r="C87" s="248" t="s">
        <v>1</v>
      </c>
      <c r="D87" s="249"/>
      <c r="E87" s="54" t="s">
        <v>2</v>
      </c>
      <c r="F87" s="54" t="s">
        <v>3</v>
      </c>
      <c r="G87" s="54" t="s">
        <v>4</v>
      </c>
      <c r="H87" s="54" t="s">
        <v>5</v>
      </c>
      <c r="I87" s="54" t="s">
        <v>6</v>
      </c>
      <c r="J87" s="53"/>
      <c r="K87" s="53"/>
      <c r="L87" s="129"/>
      <c r="M87" s="2"/>
      <c r="U87" s="161"/>
    </row>
    <row r="88" spans="2:21" ht="15" customHeight="1" thickTop="1">
      <c r="B88" s="53"/>
      <c r="C88" s="311" t="str">
        <f>'[1]Equipes-Pool'!$B$22</f>
        <v>Canucks de Vancouver</v>
      </c>
      <c r="D88" s="312"/>
      <c r="E88" s="150">
        <f>((('[1]Equipes-Pool'!$C$22)-23)-22)-12</f>
        <v>9</v>
      </c>
      <c r="F88" s="150">
        <f>((('[1]Equipes-Pool'!$D$22)-30)-18)-16</f>
        <v>13</v>
      </c>
      <c r="G88" s="150">
        <f>((('[1]Equipes-Pool'!$E$22)-72)-58)-43</f>
        <v>25</v>
      </c>
      <c r="H88" s="150">
        <f>((('[1]Equipes-Pool'!$F$22)-56)-69)-41</f>
        <v>19</v>
      </c>
      <c r="I88" s="191">
        <f>F88+(G88-H88)</f>
        <v>19</v>
      </c>
      <c r="J88" s="53"/>
      <c r="K88" s="53"/>
      <c r="L88" s="129"/>
      <c r="M88" s="2"/>
      <c r="U88" s="161"/>
    </row>
    <row r="89" spans="2:21" ht="15.75" customHeight="1">
      <c r="B89" s="53"/>
      <c r="C89" s="305" t="str">
        <f>'[1]Equipes-Pool'!$B$34</f>
        <v>Bruins de Boston</v>
      </c>
      <c r="D89" s="306"/>
      <c r="E89" s="246">
        <v>10</v>
      </c>
      <c r="F89" s="246">
        <v>14</v>
      </c>
      <c r="G89" s="246">
        <v>36</v>
      </c>
      <c r="H89" s="246">
        <v>24</v>
      </c>
      <c r="I89" s="238">
        <f>F89+(G89-H89)</f>
        <v>26</v>
      </c>
      <c r="J89" s="53"/>
      <c r="K89" s="53"/>
      <c r="L89" s="129"/>
      <c r="M89" s="2"/>
      <c r="U89" s="161"/>
    </row>
    <row r="90" spans="2:21" ht="15" customHeight="1" thickBot="1">
      <c r="B90" s="53"/>
      <c r="C90" s="309" t="str">
        <f>'[1]Equipes-Pool'!$B$13</f>
        <v>Flyers De Philadelphie</v>
      </c>
      <c r="D90" s="310"/>
      <c r="E90" s="247">
        <v>43</v>
      </c>
      <c r="F90" s="210">
        <v>59</v>
      </c>
      <c r="G90" s="210">
        <v>147</v>
      </c>
      <c r="H90" s="210">
        <v>121</v>
      </c>
      <c r="I90" s="210">
        <f>F90+(G90-H90)</f>
        <v>85</v>
      </c>
      <c r="J90" s="53"/>
      <c r="K90" s="53"/>
      <c r="L90" s="129"/>
      <c r="M90" s="2"/>
      <c r="U90" s="161"/>
    </row>
    <row r="91" spans="2:21" ht="13.5" thickBot="1">
      <c r="B91" s="53"/>
      <c r="C91" s="307" t="s">
        <v>7</v>
      </c>
      <c r="D91" s="308"/>
      <c r="E91" s="22">
        <f>SUM(E89:E90)</f>
        <v>53</v>
      </c>
      <c r="F91" s="22">
        <f>SUM(F89:F90)</f>
        <v>73</v>
      </c>
      <c r="G91" s="22">
        <f>SUM(G89:G90)</f>
        <v>183</v>
      </c>
      <c r="H91" s="22">
        <f>SUM(H89:H90)</f>
        <v>145</v>
      </c>
      <c r="I91" s="22">
        <f>SUM(I89:I90)</f>
        <v>111</v>
      </c>
      <c r="J91" s="53"/>
      <c r="K91" s="53"/>
      <c r="L91" s="52"/>
      <c r="M91" s="2"/>
      <c r="U91" s="161"/>
    </row>
    <row r="92" spans="10:21" ht="12.75">
      <c r="J92" s="57"/>
      <c r="K92" s="57"/>
      <c r="L92" s="7"/>
      <c r="M92" s="2"/>
      <c r="U92" s="161"/>
    </row>
    <row r="93" spans="2:21" ht="15" customHeight="1">
      <c r="B93" s="251" t="s">
        <v>13</v>
      </c>
      <c r="C93" s="252"/>
      <c r="D93" s="252"/>
      <c r="E93" s="252"/>
      <c r="F93" s="252"/>
      <c r="G93" s="252"/>
      <c r="H93" s="252"/>
      <c r="I93" s="252"/>
      <c r="J93" s="252"/>
      <c r="K93" s="253"/>
      <c r="L93" s="7"/>
      <c r="M93" s="2"/>
      <c r="U93" s="161"/>
    </row>
    <row r="94" spans="2:21" ht="15" customHeight="1" thickBot="1">
      <c r="B94" s="54" t="s">
        <v>15</v>
      </c>
      <c r="C94" s="54" t="s">
        <v>16</v>
      </c>
      <c r="D94" s="54" t="s">
        <v>17</v>
      </c>
      <c r="E94" s="54" t="s">
        <v>2</v>
      </c>
      <c r="F94" s="54" t="s">
        <v>18</v>
      </c>
      <c r="G94" s="54" t="s">
        <v>19</v>
      </c>
      <c r="H94" s="54" t="s">
        <v>20</v>
      </c>
      <c r="I94" s="54" t="s">
        <v>21</v>
      </c>
      <c r="J94" s="54" t="s">
        <v>22</v>
      </c>
      <c r="K94" s="54" t="s">
        <v>6</v>
      </c>
      <c r="L94" s="7"/>
      <c r="M94" s="2"/>
      <c r="U94" s="161"/>
    </row>
    <row r="95" spans="2:21" ht="15" customHeight="1" thickTop="1">
      <c r="B95" s="200">
        <f>'[1]Pool-gardien'!$B$27</f>
        <v>28.75068493150685</v>
      </c>
      <c r="C95" s="200" t="str">
        <f>'[1]Pool-gardien'!$C$27</f>
        <v>Nsh</v>
      </c>
      <c r="D95" s="221" t="str">
        <f>'[1]Pool-gardien'!$D$27</f>
        <v>Dan Ellis</v>
      </c>
      <c r="E95" s="200">
        <v>12</v>
      </c>
      <c r="F95" s="200">
        <v>4</v>
      </c>
      <c r="G95" s="200">
        <v>1</v>
      </c>
      <c r="H95" s="200">
        <v>0</v>
      </c>
      <c r="I95" s="200">
        <v>0</v>
      </c>
      <c r="J95" s="200">
        <v>0</v>
      </c>
      <c r="K95" s="191">
        <f>(F95*2)+G95+(H95*4)+(I95*10)+J95</f>
        <v>9</v>
      </c>
      <c r="L95" s="7"/>
      <c r="M95" s="2"/>
      <c r="U95" s="161"/>
    </row>
    <row r="96" spans="2:21" ht="15" customHeight="1">
      <c r="B96" s="107">
        <f>'[1]Pool-gardien'!$B$20</f>
        <v>36.12602739726027</v>
      </c>
      <c r="C96" s="107" t="str">
        <f>'[1]Pool-gardien'!$C$20</f>
        <v>Stl</v>
      </c>
      <c r="D96" s="124" t="str">
        <f>'[1]Pool-gardien'!$D$20</f>
        <v>Manny Legace</v>
      </c>
      <c r="E96" s="107">
        <f>(('[1]Pool-gardien'!$E$20)-3)-4</f>
        <v>22</v>
      </c>
      <c r="F96" s="107">
        <f>(('[1]Pool-gardien'!$F$20)-1)-3</f>
        <v>9</v>
      </c>
      <c r="G96" s="107">
        <f>(('[1]Pool-gardien'!$G$20))-0</f>
        <v>2</v>
      </c>
      <c r="H96" s="107">
        <f>(('[1]Pool-gardien'!$H$20))-0</f>
        <v>0</v>
      </c>
      <c r="I96" s="107">
        <f>(('[1]Pool-gardien'!$I$20))-0</f>
        <v>0</v>
      </c>
      <c r="J96" s="107">
        <f>(('[1]Pool-gardien'!$J$20))-0</f>
        <v>0</v>
      </c>
      <c r="K96" s="14">
        <f>(F96*2)+G96+(H96*4)+(I96*10)+J96</f>
        <v>20</v>
      </c>
      <c r="L96" s="7"/>
      <c r="M96" s="2"/>
      <c r="U96" s="161"/>
    </row>
    <row r="97" spans="2:21" ht="15" customHeight="1">
      <c r="B97" s="109"/>
      <c r="C97" s="109"/>
      <c r="D97" s="111"/>
      <c r="E97" s="109"/>
      <c r="F97" s="109"/>
      <c r="G97" s="109"/>
      <c r="H97" s="109"/>
      <c r="I97" s="109"/>
      <c r="J97" s="109"/>
      <c r="K97" s="14">
        <f>(F97*2)+G97+(H97*4)+(I97*10)+J97</f>
        <v>0</v>
      </c>
      <c r="M97" s="2"/>
      <c r="U97" s="161"/>
    </row>
    <row r="98" spans="2:21" ht="15" customHeight="1" thickBot="1">
      <c r="B98" s="28"/>
      <c r="C98" s="47"/>
      <c r="D98" s="47"/>
      <c r="E98" s="40"/>
      <c r="F98" s="40"/>
      <c r="G98" s="40"/>
      <c r="H98" s="40"/>
      <c r="I98" s="40"/>
      <c r="J98" s="40"/>
      <c r="K98" s="36">
        <f>(F98*2)+G98+(H98*4)+(I98*10)+J98</f>
        <v>0</v>
      </c>
      <c r="M98" s="2"/>
      <c r="U98" s="161"/>
    </row>
    <row r="99" spans="2:21" ht="15" customHeight="1">
      <c r="B99" s="278" t="s">
        <v>7</v>
      </c>
      <c r="C99" s="281"/>
      <c r="D99" s="279"/>
      <c r="E99" s="22">
        <f aca="true" t="shared" si="13" ref="E99:J99">SUM(E95:E98)</f>
        <v>34</v>
      </c>
      <c r="F99" s="22">
        <f t="shared" si="13"/>
        <v>13</v>
      </c>
      <c r="G99" s="22">
        <f t="shared" si="13"/>
        <v>3</v>
      </c>
      <c r="H99" s="22">
        <f t="shared" si="13"/>
        <v>0</v>
      </c>
      <c r="I99" s="22">
        <f t="shared" si="13"/>
        <v>0</v>
      </c>
      <c r="J99" s="22">
        <f t="shared" si="13"/>
        <v>0</v>
      </c>
      <c r="K99" s="14">
        <f>(F99*2)+G99+(H99*4)+(I99*10)+J99</f>
        <v>29</v>
      </c>
      <c r="M99" s="2"/>
      <c r="U99" s="161"/>
    </row>
    <row r="100" spans="13:21" ht="15" customHeight="1">
      <c r="M100" s="2"/>
      <c r="U100" s="161"/>
    </row>
    <row r="101" spans="2:21" ht="15" customHeight="1">
      <c r="B101" s="251" t="s">
        <v>23</v>
      </c>
      <c r="C101" s="252"/>
      <c r="D101" s="252"/>
      <c r="E101" s="252"/>
      <c r="F101" s="252"/>
      <c r="G101" s="252"/>
      <c r="H101" s="252"/>
      <c r="I101" s="253"/>
      <c r="M101" s="2"/>
      <c r="U101" s="161"/>
    </row>
    <row r="102" spans="2:21" ht="15" customHeight="1" thickBot="1">
      <c r="B102" s="54" t="s">
        <v>15</v>
      </c>
      <c r="C102" s="54" t="s">
        <v>29</v>
      </c>
      <c r="D102" s="54" t="s">
        <v>17</v>
      </c>
      <c r="E102" s="54" t="s">
        <v>2</v>
      </c>
      <c r="F102" s="54" t="s">
        <v>21</v>
      </c>
      <c r="G102" s="54" t="s">
        <v>30</v>
      </c>
      <c r="H102" s="54" t="s">
        <v>6</v>
      </c>
      <c r="I102" s="54" t="s">
        <v>11</v>
      </c>
      <c r="M102" s="2"/>
      <c r="U102" s="161"/>
    </row>
    <row r="103" spans="2:21" ht="15" customHeight="1" thickTop="1">
      <c r="B103" s="185">
        <f>'[1]POOL-joueus'!$B$95</f>
        <v>26.665753424657535</v>
      </c>
      <c r="C103" s="185" t="str">
        <f>'[1]POOL-joueus'!$C$95</f>
        <v>Cbj</v>
      </c>
      <c r="D103" s="186" t="str">
        <f>'[1]POOL-joueus'!$D$95</f>
        <v>Antoine Vermette</v>
      </c>
      <c r="E103" s="185">
        <v>52</v>
      </c>
      <c r="F103" s="185">
        <v>8</v>
      </c>
      <c r="G103" s="185">
        <v>13</v>
      </c>
      <c r="H103" s="139">
        <f aca="true" t="shared" si="14" ref="H103:H117">SUM(F103:G103)</f>
        <v>21</v>
      </c>
      <c r="I103" s="182">
        <f aca="true" t="shared" si="15" ref="I103:I117">H103/E103</f>
        <v>0.40384615384615385</v>
      </c>
      <c r="M103" s="2"/>
      <c r="T103" s="128"/>
      <c r="U103" s="161"/>
    </row>
    <row r="104" spans="2:21" ht="15" customHeight="1">
      <c r="B104" s="185">
        <f>'[1]POOL-joueus'!$B$161</f>
        <v>26.923287671232877</v>
      </c>
      <c r="C104" s="185" t="str">
        <f>'[1]POOL-joueus'!$C$161</f>
        <v>Bos</v>
      </c>
      <c r="D104" s="186" t="str">
        <f>'[1]POOL-joueus'!$D$161</f>
        <v>Chuck Kobasew</v>
      </c>
      <c r="E104" s="185">
        <v>2</v>
      </c>
      <c r="F104" s="185">
        <v>1</v>
      </c>
      <c r="G104" s="185">
        <v>3</v>
      </c>
      <c r="H104" s="139">
        <f t="shared" si="14"/>
        <v>4</v>
      </c>
      <c r="I104" s="182">
        <f t="shared" si="15"/>
        <v>2</v>
      </c>
      <c r="M104" s="2"/>
      <c r="U104" s="161"/>
    </row>
    <row r="105" spans="2:21" ht="15" customHeight="1">
      <c r="B105" s="185">
        <f>'[1]POOL-joueus'!$B$143</f>
        <v>33.66027397260274</v>
      </c>
      <c r="C105" s="185" t="str">
        <f>'[1]POOL-joueus'!$C$143</f>
        <v>N.J.</v>
      </c>
      <c r="D105" s="186" t="str">
        <f>'[1]POOL-joueus'!$D$143</f>
        <v>Jamie Langenbrunner</v>
      </c>
      <c r="E105" s="185">
        <v>5</v>
      </c>
      <c r="F105" s="185">
        <v>0</v>
      </c>
      <c r="G105" s="185">
        <v>6</v>
      </c>
      <c r="H105" s="139">
        <f>SUM(F105:G105)</f>
        <v>6</v>
      </c>
      <c r="I105" s="182">
        <f>H105/E105</f>
        <v>1.2</v>
      </c>
      <c r="M105" s="2"/>
      <c r="U105" s="161"/>
    </row>
    <row r="106" spans="2:21" ht="15" customHeight="1">
      <c r="B106" s="107">
        <f>'[1]POOL-joueus'!$B$782</f>
        <v>23.5013698630137</v>
      </c>
      <c r="C106" s="107" t="str">
        <f>'[1]POOL-joueus'!$C$782</f>
        <v>Van</v>
      </c>
      <c r="D106" s="124" t="str">
        <f>'[1]POOL-joueus'!$D$782</f>
        <v>Mason Raymond</v>
      </c>
      <c r="E106" s="107">
        <f>('[1]POOL-joueus'!$E$782)-3</f>
        <v>56</v>
      </c>
      <c r="F106" s="107">
        <f>('[1]POOL-joueus'!$F$782)</f>
        <v>9</v>
      </c>
      <c r="G106" s="107">
        <f>('[1]POOL-joueus'!$G$782)</f>
        <v>11</v>
      </c>
      <c r="H106" s="22">
        <f t="shared" si="14"/>
        <v>20</v>
      </c>
      <c r="I106" s="23">
        <f t="shared" si="15"/>
        <v>0.35714285714285715</v>
      </c>
      <c r="M106" s="2"/>
      <c r="U106" s="161"/>
    </row>
    <row r="107" spans="2:21" ht="15" customHeight="1">
      <c r="B107" s="180">
        <f>'[1]POOL-joueus'!$B$69</f>
        <v>35.57534246575342</v>
      </c>
      <c r="C107" s="180" t="str">
        <f>'[1]POOL-joueus'!$C$69</f>
        <v>Min</v>
      </c>
      <c r="D107" s="181" t="str">
        <f>'[1]POOL-joueus'!$D$69</f>
        <v>Andrew Brunette</v>
      </c>
      <c r="E107" s="183">
        <v>8</v>
      </c>
      <c r="F107" s="183">
        <v>2</v>
      </c>
      <c r="G107" s="183">
        <v>2</v>
      </c>
      <c r="H107" s="139">
        <f>SUM(F107:G107)</f>
        <v>4</v>
      </c>
      <c r="I107" s="182">
        <f>H107/E107</f>
        <v>0.5</v>
      </c>
      <c r="M107" s="2"/>
      <c r="U107" s="161"/>
    </row>
    <row r="108" spans="2:21" ht="15" customHeight="1">
      <c r="B108" s="107">
        <f>'[1]POOL-joueus'!$B$15</f>
        <v>36.07123287671233</v>
      </c>
      <c r="C108" s="107" t="str">
        <f>'[1]POOL-joueus'!$C$15</f>
        <v>Mtl</v>
      </c>
      <c r="D108" s="124" t="str">
        <f>'[1]POOL-joueus'!$D$15</f>
        <v>Aleixei Kovalev</v>
      </c>
      <c r="E108" s="107">
        <f>('[1]POOL-joueus'!$E$15)-64</f>
        <v>1</v>
      </c>
      <c r="F108" s="107">
        <f>('[1]POOL-joueus'!$F$15)-15</f>
        <v>1</v>
      </c>
      <c r="G108" s="107">
        <f>('[1]POOL-joueus'!$G$15)-29</f>
        <v>2</v>
      </c>
      <c r="H108" s="22">
        <f>SUM(F108:G108)</f>
        <v>3</v>
      </c>
      <c r="I108" s="23">
        <f>H108/E108</f>
        <v>3</v>
      </c>
      <c r="J108" s="1" t="s">
        <v>234</v>
      </c>
      <c r="M108" s="2"/>
      <c r="U108" s="161"/>
    </row>
    <row r="109" spans="2:21" ht="15" customHeight="1">
      <c r="B109" s="107">
        <f>'[1]POOL-joueus'!$B$380</f>
        <v>34.45205479452055</v>
      </c>
      <c r="C109" s="107" t="str">
        <f>'[1]POOL-joueus'!$C$380</f>
        <v>Cbj</v>
      </c>
      <c r="D109" s="124" t="str">
        <f>'[1]POOL-joueus'!$D$380</f>
        <v>Fredrik Modin</v>
      </c>
      <c r="E109" s="107">
        <f>('[1]POOL-joueus'!$E$380)-3</f>
        <v>47</v>
      </c>
      <c r="F109" s="107">
        <f>('[1]POOL-joueus'!$F$380)</f>
        <v>9</v>
      </c>
      <c r="G109" s="107">
        <f>('[1]POOL-joueus'!$G$380)-2</f>
        <v>14</v>
      </c>
      <c r="H109" s="22">
        <f t="shared" si="14"/>
        <v>23</v>
      </c>
      <c r="I109" s="23">
        <f t="shared" si="15"/>
        <v>0.48936170212765956</v>
      </c>
      <c r="J109" s="1" t="s">
        <v>234</v>
      </c>
      <c r="M109" s="2"/>
      <c r="U109" s="161"/>
    </row>
    <row r="110" spans="2:21" ht="15" customHeight="1">
      <c r="B110" s="185">
        <f>'[1]POOL-joueus'!$B$238</f>
        <v>29.884931506849316</v>
      </c>
      <c r="C110" s="185" t="str">
        <f>'[1]POOL-joueus'!$C$238</f>
        <v>Cbj</v>
      </c>
      <c r="D110" s="186" t="str">
        <f>'[1]POOL-joueus'!$D$238</f>
        <v>Jason Chimera</v>
      </c>
      <c r="E110" s="185">
        <v>5</v>
      </c>
      <c r="F110" s="185">
        <v>1</v>
      </c>
      <c r="G110" s="185">
        <v>0</v>
      </c>
      <c r="H110" s="139">
        <f>SUM(F110:G110)</f>
        <v>1</v>
      </c>
      <c r="I110" s="182">
        <f>H110/E110</f>
        <v>0.2</v>
      </c>
      <c r="M110" s="2"/>
      <c r="U110" s="161"/>
    </row>
    <row r="111" spans="2:21" ht="15" customHeight="1">
      <c r="B111" s="107">
        <f>'[1]POOL-joueus'!$B$220</f>
        <v>23.96712328767123</v>
      </c>
      <c r="C111" s="107" t="str">
        <f>'[1]POOL-joueus'!$C$220</f>
        <v>Van</v>
      </c>
      <c r="D111" s="124" t="str">
        <f>'[1]POOL-joueus'!$D$220</f>
        <v>Steve Bernier</v>
      </c>
      <c r="E111" s="107">
        <f>(('[1]POOL-joueus'!$E$220))-33</f>
        <v>32</v>
      </c>
      <c r="F111" s="107">
        <f>(('[1]POOL-joueus'!$F$220))-7</f>
        <v>7</v>
      </c>
      <c r="G111" s="107">
        <f>(('[1]POOL-joueus'!$G$220))-6</f>
        <v>9</v>
      </c>
      <c r="H111" s="22">
        <f>SUM(F111:G111)</f>
        <v>16</v>
      </c>
      <c r="I111" s="23">
        <f>H111/E111</f>
        <v>0.5</v>
      </c>
      <c r="M111" s="2"/>
      <c r="U111" s="161"/>
    </row>
    <row r="112" spans="2:21" ht="15" customHeight="1">
      <c r="B112" s="185">
        <f>'[1]POOL-joueus'!$B$775</f>
        <v>24.315068493150687</v>
      </c>
      <c r="C112" s="185" t="str">
        <f>'[1]POOL-joueus'!$C$775</f>
        <v>Fla</v>
      </c>
      <c r="D112" s="186" t="str">
        <f>'[1]POOL-joueus'!$D$775</f>
        <v>David Booth</v>
      </c>
      <c r="E112" s="185">
        <v>1</v>
      </c>
      <c r="F112" s="185">
        <v>1</v>
      </c>
      <c r="G112" s="185">
        <v>0</v>
      </c>
      <c r="H112" s="139">
        <f>SUM(F112:G112)</f>
        <v>1</v>
      </c>
      <c r="I112" s="182">
        <f>H112/E112</f>
        <v>1</v>
      </c>
      <c r="M112" s="2"/>
      <c r="U112" s="161"/>
    </row>
    <row r="113" spans="2:21" ht="15" customHeight="1">
      <c r="B113" s="185">
        <f>'[1]POOL-joueus'!$B$88</f>
        <v>34.30958904109589</v>
      </c>
      <c r="C113" s="185" t="str">
        <f>'[1]POOL-joueus'!$C$88</f>
        <v>Van</v>
      </c>
      <c r="D113" s="186" t="str">
        <f>'[1]POOL-joueus'!$D$88</f>
        <v>Pavol Demitra</v>
      </c>
      <c r="E113" s="185">
        <v>1</v>
      </c>
      <c r="F113" s="185">
        <v>0</v>
      </c>
      <c r="G113" s="185">
        <v>3</v>
      </c>
      <c r="H113" s="139">
        <f t="shared" si="14"/>
        <v>3</v>
      </c>
      <c r="I113" s="182">
        <f t="shared" si="15"/>
        <v>3</v>
      </c>
      <c r="M113" s="2"/>
      <c r="U113" s="161"/>
    </row>
    <row r="114" spans="2:21" ht="15" customHeight="1">
      <c r="B114" s="185">
        <f>'[1]POOL-joueus'!$B$246</f>
        <v>24.84109589041096</v>
      </c>
      <c r="C114" s="185" t="str">
        <f>'[1]POOL-joueus'!$C$246</f>
        <v>Wsh</v>
      </c>
      <c r="D114" s="186" t="str">
        <f>'[1]POOL-joueus'!$D$246</f>
        <v>Tomas Fleischman</v>
      </c>
      <c r="E114" s="185">
        <v>6</v>
      </c>
      <c r="F114" s="185">
        <v>1</v>
      </c>
      <c r="G114" s="185">
        <v>2</v>
      </c>
      <c r="H114" s="139">
        <f>SUM(F114:G114)</f>
        <v>3</v>
      </c>
      <c r="I114" s="182">
        <f>H114/E114</f>
        <v>0.5</v>
      </c>
      <c r="M114" s="2"/>
      <c r="U114" s="161"/>
    </row>
    <row r="115" spans="2:21" ht="15" customHeight="1">
      <c r="B115" s="189">
        <f>'[1]POOL-joueus'!$B$122</f>
        <v>25.487671232876714</v>
      </c>
      <c r="C115" s="189" t="str">
        <f>'[1]POOL-joueus'!$C$122</f>
        <v>Phi</v>
      </c>
      <c r="D115" s="190" t="str">
        <f>'[1]POOL-joueus'!$D$122</f>
        <v>Joffrey Lupul</v>
      </c>
      <c r="E115" s="189">
        <v>2</v>
      </c>
      <c r="F115" s="189">
        <v>0</v>
      </c>
      <c r="G115" s="189">
        <v>2</v>
      </c>
      <c r="H115" s="140">
        <f>SUM(F115:G115)</f>
        <v>2</v>
      </c>
      <c r="I115" s="199">
        <f>H115/E115</f>
        <v>1</v>
      </c>
      <c r="M115" s="2"/>
      <c r="U115" s="161"/>
    </row>
    <row r="116" spans="2:21" ht="15" customHeight="1" thickBot="1">
      <c r="B116" s="22"/>
      <c r="C116" s="42"/>
      <c r="D116" s="42"/>
      <c r="E116" s="114"/>
      <c r="F116" s="114"/>
      <c r="G116" s="114"/>
      <c r="H116" s="114">
        <f t="shared" si="14"/>
        <v>0</v>
      </c>
      <c r="I116" s="115" t="e">
        <f t="shared" si="15"/>
        <v>#DIV/0!</v>
      </c>
      <c r="M116" s="2"/>
      <c r="U116" s="161"/>
    </row>
    <row r="117" spans="2:21" ht="15" customHeight="1">
      <c r="B117" s="278" t="s">
        <v>7</v>
      </c>
      <c r="C117" s="281"/>
      <c r="D117" s="279"/>
      <c r="E117" s="22">
        <f>SUM(E103:E116)</f>
        <v>218</v>
      </c>
      <c r="F117" s="22">
        <f>SUM(F103:F116)</f>
        <v>40</v>
      </c>
      <c r="G117" s="22">
        <f>SUM(G103:G116)</f>
        <v>67</v>
      </c>
      <c r="H117" s="22">
        <f t="shared" si="14"/>
        <v>107</v>
      </c>
      <c r="I117" s="23">
        <f t="shared" si="15"/>
        <v>0.4908256880733945</v>
      </c>
      <c r="M117" s="2"/>
      <c r="U117" s="161"/>
    </row>
    <row r="118" spans="13:21" ht="15" customHeight="1">
      <c r="M118" s="2"/>
      <c r="N118" s="81"/>
      <c r="O118" s="81"/>
      <c r="P118" s="81"/>
      <c r="Q118" s="81"/>
      <c r="R118" s="81"/>
      <c r="S118" s="81"/>
      <c r="U118" s="161"/>
    </row>
    <row r="119" spans="2:21" ht="15" customHeight="1">
      <c r="B119" s="251" t="s">
        <v>24</v>
      </c>
      <c r="C119" s="252"/>
      <c r="D119" s="252"/>
      <c r="E119" s="252"/>
      <c r="F119" s="252"/>
      <c r="G119" s="252"/>
      <c r="H119" s="252"/>
      <c r="I119" s="253"/>
      <c r="M119" s="2"/>
      <c r="U119" s="161"/>
    </row>
    <row r="120" spans="2:21" ht="15" customHeight="1" thickBot="1">
      <c r="B120" s="54" t="s">
        <v>15</v>
      </c>
      <c r="C120" s="54" t="s">
        <v>29</v>
      </c>
      <c r="D120" s="54" t="s">
        <v>17</v>
      </c>
      <c r="E120" s="54" t="s">
        <v>2</v>
      </c>
      <c r="F120" s="54" t="s">
        <v>21</v>
      </c>
      <c r="G120" s="54" t="s">
        <v>30</v>
      </c>
      <c r="H120" s="54" t="s">
        <v>6</v>
      </c>
      <c r="I120" s="54" t="s">
        <v>11</v>
      </c>
      <c r="M120" s="2"/>
      <c r="U120" s="161"/>
    </row>
    <row r="121" spans="2:21" ht="15" customHeight="1" thickTop="1">
      <c r="B121" s="180">
        <f>'[1]POOL-joueus'!$B$135</f>
        <v>26.02191780821918</v>
      </c>
      <c r="C121" s="180" t="str">
        <f>'[1]POOL-joueus'!$C$135</f>
        <v>Min</v>
      </c>
      <c r="D121" s="181" t="str">
        <f>'[1]POOL-joueus'!$D$135</f>
        <v>Mikko Koivu</v>
      </c>
      <c r="E121" s="180">
        <v>5</v>
      </c>
      <c r="F121" s="180">
        <v>1</v>
      </c>
      <c r="G121" s="180">
        <v>8</v>
      </c>
      <c r="H121" s="139">
        <f aca="true" t="shared" si="16" ref="H121:H130">SUM(F121:G121)</f>
        <v>9</v>
      </c>
      <c r="I121" s="182">
        <f aca="true" t="shared" si="17" ref="I121:I130">H121/E121</f>
        <v>1.8</v>
      </c>
      <c r="J121" s="142"/>
      <c r="M121" s="2"/>
      <c r="U121" s="161"/>
    </row>
    <row r="122" spans="2:21" ht="15" customHeight="1">
      <c r="B122" s="183">
        <f>'[1]POOL-joueus'!$B$127</f>
        <v>28.589041095890412</v>
      </c>
      <c r="C122" s="183" t="str">
        <f>'[1]POOL-joueus'!$C$127</f>
        <v>Nsh</v>
      </c>
      <c r="D122" s="184" t="str">
        <f>'[1]POOL-joueus'!$D$127</f>
        <v>David Legwand</v>
      </c>
      <c r="E122" s="183">
        <v>53</v>
      </c>
      <c r="F122" s="183">
        <v>15</v>
      </c>
      <c r="G122" s="183">
        <v>15</v>
      </c>
      <c r="H122" s="139">
        <f t="shared" si="16"/>
        <v>30</v>
      </c>
      <c r="I122" s="182">
        <f t="shared" si="17"/>
        <v>0.5660377358490566</v>
      </c>
      <c r="M122" s="2"/>
      <c r="U122" s="161"/>
    </row>
    <row r="123" spans="2:21" ht="12.75">
      <c r="B123" s="106">
        <f>'[1]POOL-joueus'!$B$415</f>
        <v>23.65205479452055</v>
      </c>
      <c r="C123" s="106" t="str">
        <f>'[1]POOL-joueus'!$C$415</f>
        <v>Bos</v>
      </c>
      <c r="D123" s="126" t="str">
        <f>'[1]POOL-joueus'!$D$415</f>
        <v>Patrice Bergeron</v>
      </c>
      <c r="E123" s="106">
        <f>('[1]POOL-joueus'!$E$415)-35</f>
        <v>18</v>
      </c>
      <c r="F123" s="106">
        <f>('[1]POOL-joueus'!$F$415)-4</f>
        <v>3</v>
      </c>
      <c r="G123" s="106">
        <f>('[1]POOL-joueus'!$G$415)-16</f>
        <v>9</v>
      </c>
      <c r="H123" s="22">
        <f t="shared" si="16"/>
        <v>12</v>
      </c>
      <c r="I123" s="23">
        <f t="shared" si="17"/>
        <v>0.6666666666666666</v>
      </c>
      <c r="M123" s="2"/>
      <c r="U123" s="161"/>
    </row>
    <row r="124" spans="2:21" ht="12.75">
      <c r="B124" s="109">
        <f>'[1]POOL-joueus'!$B$318</f>
        <v>38.16712328767123</v>
      </c>
      <c r="C124" s="109" t="str">
        <f>'[1]POOL-joueus'!$C$318</f>
        <v>Nyi</v>
      </c>
      <c r="D124" s="111" t="str">
        <f>'[1]POOL-joueus'!$D$318</f>
        <v>Doug Weight</v>
      </c>
      <c r="E124" s="109">
        <f>(('[1]POOL-joueus'!$E$318)-7)-26</f>
        <v>11</v>
      </c>
      <c r="F124" s="109">
        <f>(('[1]POOL-joueus'!$F$318)-2)-6</f>
        <v>1</v>
      </c>
      <c r="G124" s="109">
        <f>(('[1]POOL-joueus'!$G$318)-4)-14</f>
        <v>8</v>
      </c>
      <c r="H124" s="22">
        <f t="shared" si="16"/>
        <v>9</v>
      </c>
      <c r="I124" s="23">
        <f t="shared" si="17"/>
        <v>0.8181818181818182</v>
      </c>
      <c r="J124" s="1" t="s">
        <v>234</v>
      </c>
      <c r="M124" s="2"/>
      <c r="U124" s="161"/>
    </row>
    <row r="125" spans="2:21" ht="12.75">
      <c r="B125" s="108">
        <f>'[1]POOL-joueus'!$B$169</f>
        <v>36.465753424657535</v>
      </c>
      <c r="C125" s="108" t="str">
        <f>'[1]POOL-joueus'!$C$169</f>
        <v>Wsh</v>
      </c>
      <c r="D125" s="110" t="str">
        <f>'[1]POOL-joueus'!$D$169</f>
        <v>Michael Nylander</v>
      </c>
      <c r="E125" s="109">
        <f>((('[1]POOL-joueus'!$E$169)-16)-9)-14</f>
        <v>19</v>
      </c>
      <c r="F125" s="109">
        <f>((('[1]POOL-joueus'!$F$169)-2)-0)-2</f>
        <v>3</v>
      </c>
      <c r="G125" s="109">
        <f>((('[1]POOL-joueus'!$G$169)-7)-5)-4</f>
        <v>4</v>
      </c>
      <c r="H125" s="22">
        <f>SUM(F125:G125)</f>
        <v>7</v>
      </c>
      <c r="I125" s="23">
        <f>H125/E125</f>
        <v>0.3684210526315789</v>
      </c>
      <c r="M125" s="2"/>
      <c r="U125" s="161"/>
    </row>
    <row r="126" spans="2:21" ht="12.75">
      <c r="B126" s="180">
        <f>'[1]POOL-joueus'!$B$188</f>
        <v>26.736986301369864</v>
      </c>
      <c r="C126" s="180" t="str">
        <f>'[1]POOL-joueus'!$C$188</f>
        <v>L.A.</v>
      </c>
      <c r="D126" s="181" t="str">
        <f>'[1]POOL-joueus'!$D$188</f>
        <v>Jarret Stoll</v>
      </c>
      <c r="E126" s="183">
        <v>6</v>
      </c>
      <c r="F126" s="183">
        <v>3</v>
      </c>
      <c r="G126" s="183">
        <v>4</v>
      </c>
      <c r="H126" s="139">
        <f>SUM(F126:G126)</f>
        <v>7</v>
      </c>
      <c r="I126" s="182">
        <f>H126/E126</f>
        <v>1.1666666666666667</v>
      </c>
      <c r="M126" s="2"/>
      <c r="U126" s="161"/>
    </row>
    <row r="127" spans="2:21" ht="12.75">
      <c r="B127" s="107">
        <f>'[1]POOL-joueus'!$B$90</f>
        <v>38.25753424657534</v>
      </c>
      <c r="C127" s="107" t="str">
        <f>'[1]POOL-joueus'!$C$90</f>
        <v>Mtl</v>
      </c>
      <c r="D127" s="124" t="str">
        <f>'[1]POOL-joueus'!$D$90</f>
        <v>Robert Lang</v>
      </c>
      <c r="E127" s="107">
        <f>('[1]POOL-joueus'!$E$90)-50</f>
        <v>0</v>
      </c>
      <c r="F127" s="107">
        <f>('[1]POOL-joueus'!$F$90)-18</f>
        <v>0</v>
      </c>
      <c r="G127" s="107">
        <f>('[1]POOL-joueus'!$G$90)-21</f>
        <v>0</v>
      </c>
      <c r="H127" s="22">
        <f>SUM(F127:G127)</f>
        <v>0</v>
      </c>
      <c r="I127" s="23" t="e">
        <f>H127/E127</f>
        <v>#DIV/0!</v>
      </c>
      <c r="M127" s="2"/>
      <c r="U127" s="161"/>
    </row>
    <row r="128" spans="2:21" ht="12.75">
      <c r="B128" s="106">
        <f>'[1]POOL-joueus'!$B$33</f>
        <v>34.443835616438356</v>
      </c>
      <c r="C128" s="106" t="str">
        <f>'[1]POOL-joueus'!$C$33</f>
        <v>Nsh</v>
      </c>
      <c r="D128" s="126" t="str">
        <f>'[1]POOL-joueus'!$D$33</f>
        <v>Jason Arnott</v>
      </c>
      <c r="E128" s="107">
        <f>((('[1]POOL-joueus'!$E$33))-11)-50</f>
        <v>0</v>
      </c>
      <c r="F128" s="107">
        <f>((('[1]POOL-joueus'!$F$33))-6)-21</f>
        <v>0</v>
      </c>
      <c r="G128" s="107">
        <f>((('[1]POOL-joueus'!$G$33))-5)-17</f>
        <v>0</v>
      </c>
      <c r="H128" s="22">
        <f>SUM(F128:G128)</f>
        <v>0</v>
      </c>
      <c r="I128" s="23" t="e">
        <f>H128/E128</f>
        <v>#DIV/0!</v>
      </c>
      <c r="J128" s="1" t="s">
        <v>234</v>
      </c>
      <c r="M128" s="2"/>
      <c r="U128" s="161"/>
    </row>
    <row r="129" spans="2:21" ht="13.5" thickBot="1">
      <c r="B129" s="109"/>
      <c r="C129" s="109"/>
      <c r="D129" s="111"/>
      <c r="E129" s="137"/>
      <c r="F129" s="137"/>
      <c r="G129" s="137"/>
      <c r="H129" s="40">
        <f t="shared" si="16"/>
        <v>0</v>
      </c>
      <c r="I129" s="41" t="e">
        <f t="shared" si="17"/>
        <v>#DIV/0!</v>
      </c>
      <c r="M129" s="2"/>
      <c r="U129" s="161"/>
    </row>
    <row r="130" spans="2:21" ht="15" customHeight="1">
      <c r="B130" s="278" t="s">
        <v>7</v>
      </c>
      <c r="C130" s="281"/>
      <c r="D130" s="279"/>
      <c r="E130" s="22">
        <f>SUM(E121:E129)</f>
        <v>112</v>
      </c>
      <c r="F130" s="22">
        <f>SUM(F121:F129)</f>
        <v>26</v>
      </c>
      <c r="G130" s="22">
        <f>SUM(G121:G129)</f>
        <v>48</v>
      </c>
      <c r="H130" s="22">
        <f t="shared" si="16"/>
        <v>74</v>
      </c>
      <c r="I130" s="23">
        <f t="shared" si="17"/>
        <v>0.6607142857142857</v>
      </c>
      <c r="M130" s="2"/>
      <c r="U130" s="161"/>
    </row>
    <row r="131" spans="13:21" ht="12.75">
      <c r="M131" s="2"/>
      <c r="U131" s="161"/>
    </row>
    <row r="132" spans="2:21" ht="13.5">
      <c r="B132" s="251" t="s">
        <v>25</v>
      </c>
      <c r="C132" s="252"/>
      <c r="D132" s="252"/>
      <c r="E132" s="252"/>
      <c r="F132" s="252"/>
      <c r="G132" s="252"/>
      <c r="H132" s="252"/>
      <c r="I132" s="253"/>
      <c r="M132" s="2"/>
      <c r="U132" s="161"/>
    </row>
    <row r="133" spans="2:21" ht="13.5" thickBot="1">
      <c r="B133" s="54" t="s">
        <v>15</v>
      </c>
      <c r="C133" s="54" t="s">
        <v>29</v>
      </c>
      <c r="D133" s="54" t="s">
        <v>17</v>
      </c>
      <c r="E133" s="54" t="s">
        <v>2</v>
      </c>
      <c r="F133" s="54" t="s">
        <v>21</v>
      </c>
      <c r="G133" s="54" t="s">
        <v>30</v>
      </c>
      <c r="H133" s="54" t="s">
        <v>6</v>
      </c>
      <c r="I133" s="54" t="s">
        <v>11</v>
      </c>
      <c r="M133" s="2"/>
      <c r="U133" s="161"/>
    </row>
    <row r="134" spans="2:21" ht="13.5" thickTop="1">
      <c r="B134" s="185">
        <f>'[1]POOL-joueus'!$B$785</f>
        <v>22.63013698630137</v>
      </c>
      <c r="C134" s="185" t="str">
        <f>'[1]POOL-joueus'!$C$785</f>
        <v>Tor</v>
      </c>
      <c r="D134" s="186" t="str">
        <f>'[1]POOL-joueus'!$D$785</f>
        <v>Anton Stralman</v>
      </c>
      <c r="E134" s="185">
        <v>21</v>
      </c>
      <c r="F134" s="185">
        <v>1</v>
      </c>
      <c r="G134" s="185">
        <v>6</v>
      </c>
      <c r="H134" s="139">
        <f aca="true" t="shared" si="18" ref="H134:H144">SUM(F134:G134)</f>
        <v>7</v>
      </c>
      <c r="I134" s="182">
        <f aca="true" t="shared" si="19" ref="I134:I144">H134/E134</f>
        <v>0.3333333333333333</v>
      </c>
      <c r="U134" s="161"/>
    </row>
    <row r="135" spans="2:21" ht="12.75">
      <c r="B135" s="107">
        <f>'[1]POOL-joueus'!$B$375</f>
        <v>28.627397260273973</v>
      </c>
      <c r="C135" s="107" t="str">
        <f>'[1]POOL-joueus'!$C$375</f>
        <v>Cgy</v>
      </c>
      <c r="D135" s="124" t="str">
        <f>'[1]POOL-joueus'!$D$375</f>
        <v>Jordan Leopold</v>
      </c>
      <c r="E135" s="107">
        <f>('[1]POOL-joueus'!$E$375)-9</f>
        <v>60</v>
      </c>
      <c r="F135" s="107">
        <f>('[1]POOL-joueus'!$F$375)-2</f>
        <v>5</v>
      </c>
      <c r="G135" s="107">
        <f>('[1]POOL-joueus'!$G$375)-3</f>
        <v>11</v>
      </c>
      <c r="H135" s="22">
        <f t="shared" si="18"/>
        <v>16</v>
      </c>
      <c r="I135" s="23">
        <f t="shared" si="19"/>
        <v>0.26666666666666666</v>
      </c>
      <c r="U135" s="161"/>
    </row>
    <row r="136" spans="2:21" ht="12.75">
      <c r="B136" s="183">
        <f>'[1]POOL-joueus'!$B$400</f>
        <v>21.87945205479452</v>
      </c>
      <c r="C136" s="183" t="str">
        <f>'[1]POOL-joueus'!$C$400</f>
        <v>Cbj</v>
      </c>
      <c r="D136" s="184" t="str">
        <f>'[1]POOL-joueus'!$D$400</f>
        <v>Kris Russell</v>
      </c>
      <c r="E136" s="183">
        <v>5</v>
      </c>
      <c r="F136" s="183">
        <v>0</v>
      </c>
      <c r="G136" s="183">
        <v>1</v>
      </c>
      <c r="H136" s="139">
        <f t="shared" si="18"/>
        <v>1</v>
      </c>
      <c r="I136" s="182">
        <f t="shared" si="19"/>
        <v>0.2</v>
      </c>
      <c r="U136" s="161"/>
    </row>
    <row r="137" spans="2:21" ht="12.75">
      <c r="B137" s="185">
        <f>'[1]POOL-joueus'!$B$294</f>
        <v>29.36986301369863</v>
      </c>
      <c r="C137" s="185" t="str">
        <f>'[1]POOL-joueus'!$C$294</f>
        <v>Det</v>
      </c>
      <c r="D137" s="186" t="str">
        <f>'[1]POOL-joueus'!$D$294</f>
        <v>Brad Stuart</v>
      </c>
      <c r="E137" s="185">
        <v>12</v>
      </c>
      <c r="F137" s="185">
        <v>0</v>
      </c>
      <c r="G137" s="185">
        <v>0</v>
      </c>
      <c r="H137" s="139">
        <f t="shared" si="18"/>
        <v>0</v>
      </c>
      <c r="I137" s="182">
        <f t="shared" si="19"/>
        <v>0</v>
      </c>
      <c r="U137" s="161"/>
    </row>
    <row r="138" spans="2:21" ht="12.75">
      <c r="B138" s="185">
        <f>'[1]POOL-joueus'!$B$338</f>
        <v>26.756164383561643</v>
      </c>
      <c r="C138" s="185" t="str">
        <f>'[1]POOL-joueus'!$C$338</f>
        <v>Nsh</v>
      </c>
      <c r="D138" s="186" t="str">
        <f>'[1]POOL-joueus'!$D$338</f>
        <v>Ville Koistinen</v>
      </c>
      <c r="E138" s="185">
        <v>4</v>
      </c>
      <c r="F138" s="185">
        <v>0</v>
      </c>
      <c r="G138" s="185">
        <v>0</v>
      </c>
      <c r="H138" s="139">
        <f t="shared" si="18"/>
        <v>0</v>
      </c>
      <c r="I138" s="182">
        <f t="shared" si="19"/>
        <v>0</v>
      </c>
      <c r="U138" s="161"/>
    </row>
    <row r="139" spans="2:21" ht="12.75">
      <c r="B139" s="106">
        <f>'[1]POOL-joueus'!$B$271</f>
        <v>25.073972602739726</v>
      </c>
      <c r="C139" s="106" t="str">
        <f>'[1]POOL-joueus'!$C$271</f>
        <v>Ana</v>
      </c>
      <c r="D139" s="126" t="str">
        <f>'[1]POOL-joueus'!$D$271</f>
        <v>James Wisniewski</v>
      </c>
      <c r="E139" s="107">
        <f>(('[1]POOL-joueus'!$E$271)-1)-9</f>
        <v>21</v>
      </c>
      <c r="F139" s="107">
        <f>(('[1]POOL-joueus'!$F$271)-0)</f>
        <v>2</v>
      </c>
      <c r="G139" s="107">
        <f>(('[1]POOL-joueus'!$G$271)-3)-2</f>
        <v>6</v>
      </c>
      <c r="H139" s="22">
        <f>SUM(F139:G139)</f>
        <v>8</v>
      </c>
      <c r="I139" s="23">
        <f>H139/E139</f>
        <v>0.38095238095238093</v>
      </c>
      <c r="U139" s="161"/>
    </row>
    <row r="140" spans="2:21" ht="12.75">
      <c r="B140" s="107">
        <f>'[1]POOL-joueus'!$B$409</f>
        <v>22.778082191780822</v>
      </c>
      <c r="C140" s="107" t="str">
        <f>'[1]POOL-joueus'!$C$409</f>
        <v>Buf</v>
      </c>
      <c r="D140" s="124" t="str">
        <f>'[1]POOL-joueus'!$D$409</f>
        <v>Andrej Sekeras</v>
      </c>
      <c r="E140" s="107">
        <f>('[1]POOL-joueus'!$E$409)-43</f>
        <v>12</v>
      </c>
      <c r="F140" s="107">
        <f>('[1]POOL-joueus'!$F$409)-1</f>
        <v>2</v>
      </c>
      <c r="G140" s="107">
        <f>('[1]POOL-joueus'!$G$409)-12</f>
        <v>2</v>
      </c>
      <c r="H140" s="22">
        <f>SUM(F140:G140)</f>
        <v>4</v>
      </c>
      <c r="I140" s="23">
        <f>H140/E140</f>
        <v>0.3333333333333333</v>
      </c>
      <c r="J140" s="1" t="s">
        <v>234</v>
      </c>
      <c r="U140" s="161"/>
    </row>
    <row r="141" spans="2:21" ht="12.75">
      <c r="B141" s="180">
        <f>'[1]POOL-joueus'!$B$231</f>
        <v>27.65753424657534</v>
      </c>
      <c r="C141" s="180" t="str">
        <f>'[1]POOL-joueus'!$C$231</f>
        <v>Phi</v>
      </c>
      <c r="D141" s="181" t="str">
        <f>'[1]POOL-joueus'!$D$231</f>
        <v>Randy Jones</v>
      </c>
      <c r="E141" s="183">
        <v>4</v>
      </c>
      <c r="F141" s="183">
        <v>0</v>
      </c>
      <c r="G141" s="183">
        <v>0</v>
      </c>
      <c r="H141" s="139">
        <f>SUM(F141:G141)</f>
        <v>0</v>
      </c>
      <c r="I141" s="182">
        <f>H141/E141</f>
        <v>0</v>
      </c>
      <c r="U141" s="161"/>
    </row>
    <row r="142" spans="2:21" ht="12.75">
      <c r="B142" s="189">
        <f>'[1]POOL-joueus'!$B$572</f>
        <v>27.753424657534246</v>
      </c>
      <c r="C142" s="189" t="str">
        <f>'[1]POOL-joueus'!$C$572</f>
        <v>Car</v>
      </c>
      <c r="D142" s="190" t="str">
        <f>'[1]POOL-joueus'!$D$572</f>
        <v>Dennis Seidenberg</v>
      </c>
      <c r="E142" s="185">
        <v>23</v>
      </c>
      <c r="F142" s="185">
        <v>1</v>
      </c>
      <c r="G142" s="185">
        <v>7</v>
      </c>
      <c r="H142" s="139">
        <f t="shared" si="18"/>
        <v>8</v>
      </c>
      <c r="I142" s="182">
        <f t="shared" si="19"/>
        <v>0.34782608695652173</v>
      </c>
      <c r="U142" s="161"/>
    </row>
    <row r="143" spans="2:21" ht="13.5" thickBot="1">
      <c r="B143" s="28"/>
      <c r="C143" s="47"/>
      <c r="D143" s="47"/>
      <c r="E143" s="114"/>
      <c r="F143" s="114"/>
      <c r="G143" s="114"/>
      <c r="H143" s="40">
        <f t="shared" si="18"/>
        <v>0</v>
      </c>
      <c r="I143" s="41" t="e">
        <f t="shared" si="19"/>
        <v>#DIV/0!</v>
      </c>
      <c r="U143" s="161"/>
    </row>
    <row r="144" spans="2:21" ht="12.75">
      <c r="B144" s="278" t="s">
        <v>7</v>
      </c>
      <c r="C144" s="281"/>
      <c r="D144" s="279"/>
      <c r="E144" s="22">
        <f>SUM(E134:E143)</f>
        <v>162</v>
      </c>
      <c r="F144" s="22">
        <f>SUM(F134:F143)</f>
        <v>11</v>
      </c>
      <c r="G144" s="22">
        <f>SUM(G134:G143)</f>
        <v>33</v>
      </c>
      <c r="H144" s="22">
        <f t="shared" si="18"/>
        <v>44</v>
      </c>
      <c r="I144" s="23">
        <f t="shared" si="19"/>
        <v>0.2716049382716049</v>
      </c>
      <c r="U144" s="161"/>
    </row>
    <row r="145" ht="12.75" customHeight="1">
      <c r="U145" s="161"/>
    </row>
    <row r="146" spans="2:21" ht="13.5" customHeight="1">
      <c r="B146" s="251" t="s">
        <v>141</v>
      </c>
      <c r="C146" s="252"/>
      <c r="D146" s="252"/>
      <c r="E146" s="252"/>
      <c r="F146" s="252"/>
      <c r="G146" s="252"/>
      <c r="H146" s="252"/>
      <c r="I146" s="252"/>
      <c r="J146" s="252"/>
      <c r="K146" s="253"/>
      <c r="U146" s="161"/>
    </row>
    <row r="147" spans="2:21" ht="13.5" thickBot="1">
      <c r="B147" s="54" t="s">
        <v>15</v>
      </c>
      <c r="C147" s="54" t="s">
        <v>16</v>
      </c>
      <c r="D147" s="54" t="s">
        <v>17</v>
      </c>
      <c r="E147" s="54" t="s">
        <v>2</v>
      </c>
      <c r="F147" s="54" t="s">
        <v>18</v>
      </c>
      <c r="G147" s="54" t="s">
        <v>19</v>
      </c>
      <c r="H147" s="54" t="s">
        <v>20</v>
      </c>
      <c r="I147" s="54" t="s">
        <v>21</v>
      </c>
      <c r="J147" s="54" t="s">
        <v>22</v>
      </c>
      <c r="K147" s="54" t="s">
        <v>6</v>
      </c>
      <c r="U147" s="161"/>
    </row>
    <row r="148" spans="2:21" ht="13.5" thickTop="1">
      <c r="B148" s="180">
        <f>'[1]Pool-gardien'!$B$70</f>
        <v>25.824657534246576</v>
      </c>
      <c r="C148" s="180" t="str">
        <f>'[1]Pool-gardien'!$C$70</f>
        <v>Cgy</v>
      </c>
      <c r="D148" s="181" t="str">
        <f>'[1]Pool-gardien'!$D$70</f>
        <v>Curtis McElhinney</v>
      </c>
      <c r="E148" s="180">
        <v>2</v>
      </c>
      <c r="F148" s="180">
        <v>0</v>
      </c>
      <c r="G148" s="180">
        <v>0</v>
      </c>
      <c r="H148" s="180">
        <v>0</v>
      </c>
      <c r="I148" s="180">
        <v>0</v>
      </c>
      <c r="J148" s="180">
        <v>0</v>
      </c>
      <c r="K148" s="191">
        <f aca="true" t="shared" si="20" ref="K148:K153">(F148*2)+G148+(H148*4)+(I148*10)+J148</f>
        <v>0</v>
      </c>
      <c r="U148" s="161"/>
    </row>
    <row r="149" spans="2:21" ht="12.75">
      <c r="B149" s="180">
        <f>'[1]Pool-gardien'!$B$124</f>
        <v>20.802739726027397</v>
      </c>
      <c r="C149" s="180" t="str">
        <f>'[1]Pool-gardien'!$C$124</f>
        <v>Cbj</v>
      </c>
      <c r="D149" s="181" t="str">
        <f>'[1]Pool-gardien'!$D$124</f>
        <v>Steve Mason</v>
      </c>
      <c r="E149" s="183">
        <v>8</v>
      </c>
      <c r="F149" s="183">
        <v>5</v>
      </c>
      <c r="G149" s="183">
        <v>1</v>
      </c>
      <c r="H149" s="183">
        <v>1</v>
      </c>
      <c r="I149" s="183">
        <v>0</v>
      </c>
      <c r="J149" s="183">
        <v>0</v>
      </c>
      <c r="K149" s="201">
        <f t="shared" si="20"/>
        <v>15</v>
      </c>
      <c r="U149" s="161"/>
    </row>
    <row r="150" spans="2:21" ht="12.75">
      <c r="B150" s="108">
        <f>'[1]Pool-gardien'!$B$126</f>
        <v>24.213698630136985</v>
      </c>
      <c r="C150" s="108" t="str">
        <f>'[1]Pool-gardien'!$C$126</f>
        <v>Chi</v>
      </c>
      <c r="D150" s="110" t="str">
        <f>'[1]Pool-gardien'!$D$126</f>
        <v>Corey Crawfort</v>
      </c>
      <c r="E150" s="108">
        <f>'[1]Pool-gardien'!$E$126</f>
        <v>0</v>
      </c>
      <c r="F150" s="108">
        <f>'[1]Pool-gardien'!$F$126</f>
        <v>0</v>
      </c>
      <c r="G150" s="108">
        <f>'[1]Pool-gardien'!$G$126</f>
        <v>0</v>
      </c>
      <c r="H150" s="108">
        <f>'[1]Pool-gardien'!$H$126</f>
        <v>0</v>
      </c>
      <c r="I150" s="108">
        <f>'[1]Pool-gardien'!$I$126</f>
        <v>0</v>
      </c>
      <c r="J150" s="108">
        <f>'[1]Pool-gardien'!$J$126</f>
        <v>0</v>
      </c>
      <c r="K150" s="14">
        <f t="shared" si="20"/>
        <v>0</v>
      </c>
      <c r="U150" s="161"/>
    </row>
    <row r="151" spans="2:21" ht="12.75">
      <c r="B151" s="108">
        <f>'[1]Pool-gardien'!$B$127</f>
        <v>25.556164383561644</v>
      </c>
      <c r="C151" s="108" t="str">
        <f>'[1]Pool-gardien'!$C$127</f>
        <v>Chi</v>
      </c>
      <c r="D151" s="110" t="str">
        <f>'[1]Pool-gardien'!$D$127</f>
        <v>Antti Niemi</v>
      </c>
      <c r="E151" s="108">
        <f>'[1]Pool-gardien'!$E$127</f>
        <v>3</v>
      </c>
      <c r="F151" s="108">
        <f>'[1]Pool-gardien'!$F$127</f>
        <v>1</v>
      </c>
      <c r="G151" s="108">
        <f>'[1]Pool-gardien'!$G$127</f>
        <v>1</v>
      </c>
      <c r="H151" s="108">
        <f>'[1]Pool-gardien'!$H$127</f>
        <v>0</v>
      </c>
      <c r="I151" s="108">
        <f>'[1]Pool-gardien'!$I$127</f>
        <v>0</v>
      </c>
      <c r="J151" s="108">
        <f>'[1]Pool-gardien'!$J$127</f>
        <v>0</v>
      </c>
      <c r="K151" s="14">
        <f t="shared" si="20"/>
        <v>3</v>
      </c>
      <c r="U151" s="161"/>
    </row>
    <row r="152" spans="2:21" ht="13.5" thickBot="1">
      <c r="B152" s="108"/>
      <c r="C152" s="108"/>
      <c r="D152" s="110"/>
      <c r="E152" s="137"/>
      <c r="F152" s="137"/>
      <c r="G152" s="137"/>
      <c r="H152" s="137"/>
      <c r="I152" s="137"/>
      <c r="J152" s="137"/>
      <c r="K152" s="116">
        <f t="shared" si="20"/>
        <v>0</v>
      </c>
      <c r="U152" s="161"/>
    </row>
    <row r="153" spans="2:21" ht="12.75">
      <c r="B153" s="274" t="s">
        <v>26</v>
      </c>
      <c r="C153" s="275"/>
      <c r="D153" s="255"/>
      <c r="E153" s="14">
        <f aca="true" t="shared" si="21" ref="E153:J153">SUM(E147:E152)</f>
        <v>13</v>
      </c>
      <c r="F153" s="14">
        <f t="shared" si="21"/>
        <v>6</v>
      </c>
      <c r="G153" s="14">
        <f t="shared" si="21"/>
        <v>2</v>
      </c>
      <c r="H153" s="14">
        <f t="shared" si="21"/>
        <v>1</v>
      </c>
      <c r="I153" s="14">
        <f t="shared" si="21"/>
        <v>0</v>
      </c>
      <c r="J153" s="14">
        <f t="shared" si="21"/>
        <v>0</v>
      </c>
      <c r="K153" s="14">
        <f t="shared" si="20"/>
        <v>18</v>
      </c>
      <c r="U153" s="161"/>
    </row>
    <row r="154" spans="2:21" ht="13.5">
      <c r="B154" s="251" t="s">
        <v>140</v>
      </c>
      <c r="C154" s="252"/>
      <c r="D154" s="252"/>
      <c r="E154" s="252"/>
      <c r="F154" s="252"/>
      <c r="G154" s="252"/>
      <c r="H154" s="252"/>
      <c r="I154" s="253"/>
      <c r="L154" s="129"/>
      <c r="U154" s="161"/>
    </row>
    <row r="155" spans="1:21" ht="13.5" thickBot="1">
      <c r="A155" s="54" t="s">
        <v>143</v>
      </c>
      <c r="B155" s="54" t="s">
        <v>15</v>
      </c>
      <c r="C155" s="54" t="s">
        <v>29</v>
      </c>
      <c r="D155" s="54" t="s">
        <v>17</v>
      </c>
      <c r="E155" s="54" t="s">
        <v>2</v>
      </c>
      <c r="F155" s="54" t="s">
        <v>21</v>
      </c>
      <c r="G155" s="54" t="s">
        <v>30</v>
      </c>
      <c r="H155" s="54" t="s">
        <v>6</v>
      </c>
      <c r="I155" s="54" t="s">
        <v>11</v>
      </c>
      <c r="L155" s="129"/>
      <c r="U155" s="161"/>
    </row>
    <row r="156" spans="1:21" ht="13.5" thickTop="1">
      <c r="A156" s="121" t="s">
        <v>145</v>
      </c>
      <c r="B156" s="121">
        <f>'[1]POOL-joueus'!$B$491</f>
        <v>18.813698630136987</v>
      </c>
      <c r="C156" s="121" t="str">
        <f>'[1]POOL-joueus'!$C$491</f>
        <v>Cbj</v>
      </c>
      <c r="D156" s="122" t="str">
        <f>'[1]POOL-joueus'!$D$491</f>
        <v>Nikita Filatov</v>
      </c>
      <c r="E156" s="121">
        <f>'[1]POOL-joueus'!$E$491</f>
        <v>8</v>
      </c>
      <c r="F156" s="121">
        <f>'[1]POOL-joueus'!$F$491</f>
        <v>4</v>
      </c>
      <c r="G156" s="121">
        <f>'[1]POOL-joueus'!$G$491</f>
        <v>0</v>
      </c>
      <c r="H156" s="121">
        <f aca="true" t="shared" si="22" ref="H156:H161">SUM(F156:G156)</f>
        <v>4</v>
      </c>
      <c r="I156" s="167">
        <f aca="true" t="shared" si="23" ref="I156:I162">H156/E156</f>
        <v>0.5</v>
      </c>
      <c r="L156" s="129"/>
      <c r="U156" s="161"/>
    </row>
    <row r="157" spans="1:21" ht="12.75">
      <c r="A157" s="180" t="s">
        <v>235</v>
      </c>
      <c r="B157" s="180">
        <f>'[1]POOL-joueus'!$B$566</f>
        <v>21.980821917808218</v>
      </c>
      <c r="C157" s="180" t="str">
        <f>'[1]POOL-joueus'!$C$566</f>
        <v>Ott</v>
      </c>
      <c r="D157" s="181" t="str">
        <f>'[1]POOL-joueus'!$D$566</f>
        <v>Brian Lee</v>
      </c>
      <c r="E157" s="180">
        <v>32</v>
      </c>
      <c r="F157" s="180">
        <v>2</v>
      </c>
      <c r="G157" s="180">
        <v>8</v>
      </c>
      <c r="H157" s="183">
        <f t="shared" si="22"/>
        <v>10</v>
      </c>
      <c r="I157" s="199">
        <f t="shared" si="23"/>
        <v>0.3125</v>
      </c>
      <c r="L157" s="129"/>
      <c r="U157" s="161"/>
    </row>
    <row r="158" spans="1:21" ht="14.25" thickBot="1">
      <c r="A158" s="180" t="s">
        <v>144</v>
      </c>
      <c r="B158" s="180">
        <f>'[1]POOL-joueus'!$B$794</f>
        <v>23.019178082191782</v>
      </c>
      <c r="C158" s="180" t="str">
        <f>'[1]POOL-joueus'!$C$794</f>
        <v>Phx</v>
      </c>
      <c r="D158" s="181" t="str">
        <f>'[1]POOL-joueus'!$D$794</f>
        <v>Kevin Porter</v>
      </c>
      <c r="E158" s="180">
        <v>24</v>
      </c>
      <c r="F158" s="180">
        <v>5</v>
      </c>
      <c r="G158" s="180">
        <v>3</v>
      </c>
      <c r="H158" s="183">
        <f t="shared" si="22"/>
        <v>8</v>
      </c>
      <c r="I158" s="199">
        <f t="shared" si="23"/>
        <v>0.3333333333333333</v>
      </c>
      <c r="L158" s="129"/>
      <c r="N158" s="86" t="s">
        <v>82</v>
      </c>
      <c r="O158" s="86" t="s">
        <v>81</v>
      </c>
      <c r="U158" s="161"/>
    </row>
    <row r="159" spans="1:15" ht="12.75">
      <c r="A159" s="180" t="s">
        <v>145</v>
      </c>
      <c r="B159" s="180">
        <f>'[1]POOL-joueus'!$B$502</f>
        <v>24.112328767123287</v>
      </c>
      <c r="C159" s="180" t="str">
        <f>'[1]POOL-joueus'!$C$502</f>
        <v>Dal</v>
      </c>
      <c r="D159" s="181" t="str">
        <f>'[1]POOL-joueus'!$D$502</f>
        <v>Fabian Brunnstrom</v>
      </c>
      <c r="E159" s="180">
        <v>15</v>
      </c>
      <c r="F159" s="180">
        <v>6</v>
      </c>
      <c r="G159" s="180">
        <v>5</v>
      </c>
      <c r="H159" s="183">
        <f t="shared" si="22"/>
        <v>11</v>
      </c>
      <c r="I159" s="199">
        <f t="shared" si="23"/>
        <v>0.7333333333333333</v>
      </c>
      <c r="L159" s="129"/>
      <c r="N159" s="85" t="s">
        <v>71</v>
      </c>
      <c r="O159" s="87">
        <v>4</v>
      </c>
    </row>
    <row r="160" spans="1:15" ht="13.5" thickBot="1">
      <c r="A160" s="108" t="s">
        <v>235</v>
      </c>
      <c r="B160" s="106">
        <f>'[1]POOL-joueus'!$B$798</f>
        <v>19.12876712328767</v>
      </c>
      <c r="C160" s="106" t="str">
        <f>'[1]POOL-joueus'!$C$798</f>
        <v>Phi</v>
      </c>
      <c r="D160" s="126" t="str">
        <f>'[1]POOL-joueus'!$D$798</f>
        <v>Luca Sbisa</v>
      </c>
      <c r="E160" s="106">
        <f>((('[1]POOL-joueus'!$E$798)-10)-1)-20</f>
        <v>8</v>
      </c>
      <c r="F160" s="106">
        <f>((('[1]POOL-joueus'!$F$798)-0)-0)-0</f>
        <v>0</v>
      </c>
      <c r="G160" s="106">
        <f>((('[1]POOL-joueus'!$G$798)-5)-1)-1</f>
        <v>0</v>
      </c>
      <c r="H160" s="109">
        <f t="shared" si="22"/>
        <v>0</v>
      </c>
      <c r="I160" s="29">
        <f>H160/E160</f>
        <v>0</v>
      </c>
      <c r="L160" s="129"/>
      <c r="N160" s="83" t="s">
        <v>72</v>
      </c>
      <c r="O160" s="88">
        <v>10</v>
      </c>
    </row>
    <row r="161" spans="1:15" ht="14.25" thickBot="1" thickTop="1">
      <c r="A161" s="43"/>
      <c r="B161" s="107"/>
      <c r="C161" s="107"/>
      <c r="D161" s="124"/>
      <c r="E161" s="123"/>
      <c r="F161" s="123"/>
      <c r="G161" s="123"/>
      <c r="H161" s="113">
        <f t="shared" si="22"/>
        <v>0</v>
      </c>
      <c r="I161" s="41" t="e">
        <f t="shared" si="23"/>
        <v>#DIV/0!</v>
      </c>
      <c r="J161" s="142"/>
      <c r="L161" s="129"/>
      <c r="N161" s="91" t="s">
        <v>238</v>
      </c>
      <c r="O161" s="92">
        <f>SUM(O159:O160)</f>
        <v>14</v>
      </c>
    </row>
    <row r="162" spans="2:15" ht="12.75">
      <c r="B162" s="278" t="s">
        <v>7</v>
      </c>
      <c r="C162" s="281"/>
      <c r="D162" s="279"/>
      <c r="E162" s="22">
        <f>SUM(E156:E161)</f>
        <v>87</v>
      </c>
      <c r="F162" s="22">
        <f>SUM(F156:F161)</f>
        <v>17</v>
      </c>
      <c r="G162" s="22">
        <f>SUM(G156:G161)</f>
        <v>16</v>
      </c>
      <c r="H162" s="22">
        <f>SUM(H156:H161)</f>
        <v>33</v>
      </c>
      <c r="I162" s="23">
        <f t="shared" si="23"/>
        <v>0.3793103448275862</v>
      </c>
      <c r="L162" s="129"/>
      <c r="N162" s="84"/>
      <c r="O162" s="89"/>
    </row>
    <row r="163" spans="2:15" ht="12.75">
      <c r="B163" s="76"/>
      <c r="C163" s="76"/>
      <c r="D163" s="76"/>
      <c r="E163" s="53"/>
      <c r="F163" s="53"/>
      <c r="G163" s="53"/>
      <c r="H163" s="53"/>
      <c r="I163" s="77"/>
      <c r="L163" s="129"/>
      <c r="N163" s="83" t="s">
        <v>73</v>
      </c>
      <c r="O163" s="90">
        <v>11</v>
      </c>
    </row>
    <row r="164" spans="2:15" ht="12.75">
      <c r="B164" s="278" t="s">
        <v>142</v>
      </c>
      <c r="C164" s="281"/>
      <c r="D164" s="279"/>
      <c r="E164" s="109">
        <f>E153+E162</f>
        <v>100</v>
      </c>
      <c r="F164" s="112"/>
      <c r="G164" s="112"/>
      <c r="H164" s="28">
        <f>K153+H162</f>
        <v>51</v>
      </c>
      <c r="I164" s="29">
        <f>H164/E164</f>
        <v>0.51</v>
      </c>
      <c r="L164" s="129"/>
      <c r="N164" s="83" t="s">
        <v>74</v>
      </c>
      <c r="O164" s="90">
        <v>43</v>
      </c>
    </row>
    <row r="165" spans="2:15" ht="12.75">
      <c r="B165" s="78"/>
      <c r="C165" s="78"/>
      <c r="D165" s="78"/>
      <c r="E165" s="79"/>
      <c r="F165" s="79"/>
      <c r="G165" s="79"/>
      <c r="H165" s="79"/>
      <c r="I165" s="80"/>
      <c r="J165" s="81"/>
      <c r="K165" s="81"/>
      <c r="L165" s="129"/>
      <c r="N165" s="83" t="s">
        <v>75</v>
      </c>
      <c r="O165" s="90"/>
    </row>
    <row r="166" spans="12:15" ht="13.5" thickBot="1">
      <c r="L166" s="129"/>
      <c r="N166" s="83" t="s">
        <v>76</v>
      </c>
      <c r="O166" s="90">
        <v>2</v>
      </c>
    </row>
    <row r="167" spans="2:15" ht="14.25" customHeight="1" thickBot="1">
      <c r="B167" s="284" t="s">
        <v>49</v>
      </c>
      <c r="C167" s="285"/>
      <c r="D167" s="285"/>
      <c r="E167" s="285"/>
      <c r="F167" s="285"/>
      <c r="G167" s="285"/>
      <c r="H167" s="285"/>
      <c r="I167" s="285"/>
      <c r="J167" s="285"/>
      <c r="K167" s="286"/>
      <c r="L167" s="129"/>
      <c r="N167" s="83" t="s">
        <v>79</v>
      </c>
      <c r="O167" s="90"/>
    </row>
    <row r="168" spans="2:15" ht="12.75">
      <c r="B168" s="287" t="s">
        <v>50</v>
      </c>
      <c r="C168" s="288"/>
      <c r="D168" s="58" t="s">
        <v>51</v>
      </c>
      <c r="E168" s="313" t="s">
        <v>52</v>
      </c>
      <c r="F168" s="314"/>
      <c r="G168" s="287" t="s">
        <v>53</v>
      </c>
      <c r="H168" s="289"/>
      <c r="I168" s="288"/>
      <c r="J168" s="313" t="s">
        <v>54</v>
      </c>
      <c r="K168" s="314"/>
      <c r="L168" s="129"/>
      <c r="N168" s="83" t="s">
        <v>77</v>
      </c>
      <c r="O168" s="90"/>
    </row>
    <row r="169" spans="2:15" ht="25.5">
      <c r="B169" s="259" t="s">
        <v>185</v>
      </c>
      <c r="C169" s="260"/>
      <c r="D169" s="151" t="s">
        <v>187</v>
      </c>
      <c r="E169" s="259" t="s">
        <v>188</v>
      </c>
      <c r="F169" s="260"/>
      <c r="G169" s="262" t="s">
        <v>189</v>
      </c>
      <c r="H169" s="261"/>
      <c r="I169" s="260"/>
      <c r="J169" s="259" t="s">
        <v>190</v>
      </c>
      <c r="K169" s="260"/>
      <c r="L169" s="129"/>
      <c r="N169" s="83" t="s">
        <v>78</v>
      </c>
      <c r="O169" s="90"/>
    </row>
    <row r="170" spans="2:15" ht="12.75">
      <c r="B170" s="259" t="s">
        <v>185</v>
      </c>
      <c r="C170" s="260"/>
      <c r="D170" s="47" t="s">
        <v>197</v>
      </c>
      <c r="E170" s="259" t="s">
        <v>198</v>
      </c>
      <c r="F170" s="260"/>
      <c r="G170" s="259" t="s">
        <v>199</v>
      </c>
      <c r="H170" s="261"/>
      <c r="I170" s="260"/>
      <c r="J170" s="259" t="s">
        <v>200</v>
      </c>
      <c r="K170" s="260"/>
      <c r="L170" s="129"/>
      <c r="N170" s="84"/>
      <c r="O170" s="89"/>
    </row>
    <row r="171" spans="2:15" ht="12.75">
      <c r="B171" s="259" t="s">
        <v>185</v>
      </c>
      <c r="C171" s="260"/>
      <c r="D171" s="47" t="s">
        <v>205</v>
      </c>
      <c r="E171" s="259" t="s">
        <v>206</v>
      </c>
      <c r="F171" s="260"/>
      <c r="G171" s="259" t="s">
        <v>202</v>
      </c>
      <c r="H171" s="261"/>
      <c r="I171" s="260"/>
      <c r="J171" s="259" t="s">
        <v>204</v>
      </c>
      <c r="K171" s="260"/>
      <c r="L171" s="129"/>
      <c r="N171" s="93" t="s">
        <v>80</v>
      </c>
      <c r="O171" s="94">
        <f>SUM(O161:O169)</f>
        <v>70</v>
      </c>
    </row>
    <row r="172" spans="2:11" ht="12.75">
      <c r="B172" s="259" t="s">
        <v>185</v>
      </c>
      <c r="C172" s="260"/>
      <c r="D172" s="47" t="s">
        <v>209</v>
      </c>
      <c r="E172" s="259" t="s">
        <v>210</v>
      </c>
      <c r="F172" s="260"/>
      <c r="G172" s="259" t="s">
        <v>199</v>
      </c>
      <c r="H172" s="261"/>
      <c r="I172" s="260"/>
      <c r="J172" s="259" t="s">
        <v>204</v>
      </c>
      <c r="K172" s="260"/>
    </row>
    <row r="173" spans="2:11" ht="12.75">
      <c r="B173" s="259" t="s">
        <v>185</v>
      </c>
      <c r="C173" s="260"/>
      <c r="D173" s="47" t="s">
        <v>227</v>
      </c>
      <c r="E173" s="259" t="s">
        <v>210</v>
      </c>
      <c r="F173" s="260"/>
      <c r="G173" s="259" t="s">
        <v>226</v>
      </c>
      <c r="H173" s="261"/>
      <c r="I173" s="260"/>
      <c r="J173" s="259" t="s">
        <v>223</v>
      </c>
      <c r="K173" s="260"/>
    </row>
    <row r="174" spans="2:11" ht="12.75">
      <c r="B174" s="259" t="s">
        <v>185</v>
      </c>
      <c r="C174" s="260"/>
      <c r="D174" s="47" t="s">
        <v>231</v>
      </c>
      <c r="E174" s="259" t="s">
        <v>232</v>
      </c>
      <c r="F174" s="260"/>
      <c r="G174" s="259" t="s">
        <v>228</v>
      </c>
      <c r="H174" s="261"/>
      <c r="I174" s="260"/>
      <c r="J174" s="259" t="s">
        <v>230</v>
      </c>
      <c r="K174" s="260"/>
    </row>
    <row r="175" spans="2:11" ht="12.75">
      <c r="B175" s="259" t="s">
        <v>244</v>
      </c>
      <c r="C175" s="260"/>
      <c r="D175" s="47" t="s">
        <v>339</v>
      </c>
      <c r="E175" s="259" t="s">
        <v>241</v>
      </c>
      <c r="F175" s="260"/>
      <c r="G175" s="259" t="s">
        <v>340</v>
      </c>
      <c r="H175" s="261"/>
      <c r="I175" s="260"/>
      <c r="J175" s="259" t="s">
        <v>341</v>
      </c>
      <c r="K175" s="260"/>
    </row>
    <row r="176" spans="2:11" ht="12.75">
      <c r="B176" s="259" t="s">
        <v>288</v>
      </c>
      <c r="C176" s="260"/>
      <c r="D176" s="47" t="s">
        <v>357</v>
      </c>
      <c r="E176" s="259" t="s">
        <v>250</v>
      </c>
      <c r="F176" s="260"/>
      <c r="G176" s="262" t="s">
        <v>358</v>
      </c>
      <c r="H176" s="291"/>
      <c r="I176" s="292"/>
      <c r="J176" s="259" t="s">
        <v>359</v>
      </c>
      <c r="K176" s="260"/>
    </row>
    <row r="177" spans="2:11" ht="12.75">
      <c r="B177" s="259" t="s">
        <v>234</v>
      </c>
      <c r="C177" s="260"/>
      <c r="D177" s="151" t="s">
        <v>404</v>
      </c>
      <c r="E177" s="259" t="s">
        <v>250</v>
      </c>
      <c r="F177" s="260"/>
      <c r="G177" s="262" t="s">
        <v>405</v>
      </c>
      <c r="H177" s="291"/>
      <c r="I177" s="292"/>
      <c r="J177" s="259" t="s">
        <v>406</v>
      </c>
      <c r="K177" s="260"/>
    </row>
    <row r="178" spans="2:11" ht="12.75">
      <c r="B178" s="259" t="s">
        <v>234</v>
      </c>
      <c r="C178" s="260"/>
      <c r="D178" s="47" t="s">
        <v>410</v>
      </c>
      <c r="E178" s="259" t="s">
        <v>250</v>
      </c>
      <c r="F178" s="260"/>
      <c r="G178" s="259" t="s">
        <v>411</v>
      </c>
      <c r="H178" s="261"/>
      <c r="I178" s="260"/>
      <c r="J178" s="259" t="s">
        <v>412</v>
      </c>
      <c r="K178" s="260"/>
    </row>
    <row r="179" spans="2:11" ht="12.75">
      <c r="B179" s="259" t="s">
        <v>234</v>
      </c>
      <c r="C179" s="260"/>
      <c r="D179" s="47" t="s">
        <v>425</v>
      </c>
      <c r="E179" s="259" t="s">
        <v>250</v>
      </c>
      <c r="F179" s="260"/>
      <c r="G179" s="259" t="s">
        <v>426</v>
      </c>
      <c r="H179" s="261"/>
      <c r="I179" s="260"/>
      <c r="J179" s="259" t="s">
        <v>427</v>
      </c>
      <c r="K179" s="260"/>
    </row>
    <row r="180" spans="2:11" ht="12.75">
      <c r="B180" s="259" t="s">
        <v>244</v>
      </c>
      <c r="C180" s="260"/>
      <c r="D180" s="47" t="s">
        <v>431</v>
      </c>
      <c r="E180" s="259" t="s">
        <v>241</v>
      </c>
      <c r="F180" s="260"/>
      <c r="G180" s="259" t="s">
        <v>432</v>
      </c>
      <c r="H180" s="261"/>
      <c r="I180" s="260"/>
      <c r="J180" s="259" t="s">
        <v>430</v>
      </c>
      <c r="K180" s="260"/>
    </row>
    <row r="181" spans="2:11" ht="12.75">
      <c r="B181" s="259" t="s">
        <v>244</v>
      </c>
      <c r="C181" s="260"/>
      <c r="D181" s="47" t="s">
        <v>447</v>
      </c>
      <c r="E181" s="259" t="s">
        <v>241</v>
      </c>
      <c r="F181" s="260"/>
      <c r="G181" s="259" t="s">
        <v>448</v>
      </c>
      <c r="H181" s="261"/>
      <c r="I181" s="260"/>
      <c r="J181" s="259" t="s">
        <v>449</v>
      </c>
      <c r="K181" s="260"/>
    </row>
    <row r="182" spans="2:11" ht="12.75">
      <c r="B182" s="259" t="s">
        <v>308</v>
      </c>
      <c r="C182" s="260"/>
      <c r="D182" s="47" t="s">
        <v>426</v>
      </c>
      <c r="E182" s="259" t="s">
        <v>250</v>
      </c>
      <c r="F182" s="260"/>
      <c r="G182" s="259" t="s">
        <v>425</v>
      </c>
      <c r="H182" s="261"/>
      <c r="I182" s="260"/>
      <c r="J182" s="259" t="s">
        <v>450</v>
      </c>
      <c r="K182" s="260"/>
    </row>
    <row r="183" spans="2:11" ht="12.75">
      <c r="B183" s="259" t="s">
        <v>288</v>
      </c>
      <c r="C183" s="260"/>
      <c r="D183" s="47" t="s">
        <v>358</v>
      </c>
      <c r="E183" s="259" t="s">
        <v>250</v>
      </c>
      <c r="F183" s="260"/>
      <c r="G183" s="259" t="s">
        <v>357</v>
      </c>
      <c r="H183" s="261"/>
      <c r="I183" s="260"/>
      <c r="J183" s="259" t="s">
        <v>466</v>
      </c>
      <c r="K183" s="260"/>
    </row>
    <row r="184" spans="2:11" ht="12.75">
      <c r="B184" s="259" t="s">
        <v>308</v>
      </c>
      <c r="C184" s="260"/>
      <c r="D184" s="47" t="s">
        <v>323</v>
      </c>
      <c r="E184" s="259" t="s">
        <v>250</v>
      </c>
      <c r="F184" s="260"/>
      <c r="G184" s="259" t="s">
        <v>410</v>
      </c>
      <c r="H184" s="261"/>
      <c r="I184" s="260"/>
      <c r="J184" s="259" t="s">
        <v>545</v>
      </c>
      <c r="K184" s="260"/>
    </row>
    <row r="185" spans="2:11" ht="25.5">
      <c r="B185" s="259" t="s">
        <v>185</v>
      </c>
      <c r="C185" s="260"/>
      <c r="D185" s="151" t="s">
        <v>559</v>
      </c>
      <c r="E185" s="259" t="s">
        <v>198</v>
      </c>
      <c r="F185" s="260"/>
      <c r="G185" s="262" t="s">
        <v>560</v>
      </c>
      <c r="H185" s="261"/>
      <c r="I185" s="260"/>
      <c r="J185" s="259" t="s">
        <v>561</v>
      </c>
      <c r="K185" s="260"/>
    </row>
    <row r="186" spans="2:11" ht="12.75">
      <c r="B186" s="259" t="s">
        <v>563</v>
      </c>
      <c r="C186" s="260"/>
      <c r="D186" s="259" t="s">
        <v>564</v>
      </c>
      <c r="E186" s="261"/>
      <c r="F186" s="261"/>
      <c r="G186" s="261"/>
      <c r="H186" s="261"/>
      <c r="I186" s="260"/>
      <c r="J186" s="259" t="s">
        <v>561</v>
      </c>
      <c r="K186" s="260"/>
    </row>
    <row r="187" spans="2:11" ht="25.5" customHeight="1">
      <c r="B187" s="259" t="s">
        <v>234</v>
      </c>
      <c r="C187" s="260"/>
      <c r="D187" s="47" t="s">
        <v>410</v>
      </c>
      <c r="E187" s="259" t="s">
        <v>250</v>
      </c>
      <c r="F187" s="260"/>
      <c r="G187" s="259" t="s">
        <v>323</v>
      </c>
      <c r="H187" s="261"/>
      <c r="I187" s="260"/>
      <c r="J187" s="259" t="s">
        <v>583</v>
      </c>
      <c r="K187" s="260"/>
    </row>
    <row r="188" spans="2:11" ht="12.75">
      <c r="B188" s="259" t="s">
        <v>234</v>
      </c>
      <c r="C188" s="260"/>
      <c r="D188" s="47" t="s">
        <v>606</v>
      </c>
      <c r="E188" s="259" t="s">
        <v>250</v>
      </c>
      <c r="F188" s="260"/>
      <c r="G188" s="259" t="s">
        <v>432</v>
      </c>
      <c r="H188" s="261"/>
      <c r="I188" s="260"/>
      <c r="J188" s="259" t="s">
        <v>607</v>
      </c>
      <c r="K188" s="260"/>
    </row>
    <row r="189" spans="2:11" ht="12.75">
      <c r="B189" s="259" t="s">
        <v>308</v>
      </c>
      <c r="C189" s="260"/>
      <c r="D189" s="47" t="s">
        <v>425</v>
      </c>
      <c r="E189" s="259" t="s">
        <v>250</v>
      </c>
      <c r="F189" s="260"/>
      <c r="G189" s="259" t="s">
        <v>404</v>
      </c>
      <c r="H189" s="261"/>
      <c r="I189" s="260"/>
      <c r="J189" s="259" t="s">
        <v>608</v>
      </c>
      <c r="K189" s="260"/>
    </row>
    <row r="190" spans="2:12" ht="12.75">
      <c r="B190" s="259" t="s">
        <v>288</v>
      </c>
      <c r="C190" s="260"/>
      <c r="D190" s="47" t="s">
        <v>357</v>
      </c>
      <c r="E190" s="259" t="s">
        <v>250</v>
      </c>
      <c r="F190" s="260"/>
      <c r="G190" s="259" t="s">
        <v>358</v>
      </c>
      <c r="H190" s="261"/>
      <c r="I190" s="260"/>
      <c r="J190" s="259" t="s">
        <v>609</v>
      </c>
      <c r="K190" s="260"/>
      <c r="L190" s="142"/>
    </row>
    <row r="191" spans="2:11" ht="12.75">
      <c r="B191" s="259" t="s">
        <v>234</v>
      </c>
      <c r="C191" s="260"/>
      <c r="D191" s="47" t="s">
        <v>610</v>
      </c>
      <c r="E191" s="259" t="s">
        <v>250</v>
      </c>
      <c r="F191" s="260"/>
      <c r="G191" s="259" t="s">
        <v>319</v>
      </c>
      <c r="H191" s="261"/>
      <c r="I191" s="260"/>
      <c r="J191" s="259" t="s">
        <v>611</v>
      </c>
      <c r="K191" s="260"/>
    </row>
    <row r="192" spans="2:11" ht="12.75">
      <c r="B192" s="259" t="s">
        <v>308</v>
      </c>
      <c r="C192" s="260"/>
      <c r="D192" s="47" t="s">
        <v>319</v>
      </c>
      <c r="E192" s="259" t="s">
        <v>250</v>
      </c>
      <c r="F192" s="260"/>
      <c r="G192" s="259" t="s">
        <v>610</v>
      </c>
      <c r="H192" s="261"/>
      <c r="I192" s="260"/>
      <c r="J192" s="259" t="s">
        <v>620</v>
      </c>
      <c r="K192" s="260"/>
    </row>
    <row r="193" spans="2:11" ht="12.75" customHeight="1">
      <c r="B193" s="259" t="s">
        <v>244</v>
      </c>
      <c r="C193" s="260"/>
      <c r="D193" s="47" t="s">
        <v>625</v>
      </c>
      <c r="E193" s="259" t="s">
        <v>241</v>
      </c>
      <c r="F193" s="260"/>
      <c r="G193" s="259" t="s">
        <v>626</v>
      </c>
      <c r="H193" s="261"/>
      <c r="I193" s="260"/>
      <c r="J193" s="259" t="s">
        <v>627</v>
      </c>
      <c r="K193" s="260"/>
    </row>
    <row r="194" spans="2:11" ht="12.75" customHeight="1">
      <c r="B194" s="259" t="s">
        <v>244</v>
      </c>
      <c r="C194" s="260"/>
      <c r="D194" s="47" t="s">
        <v>647</v>
      </c>
      <c r="E194" s="259" t="s">
        <v>241</v>
      </c>
      <c r="F194" s="260"/>
      <c r="G194" s="259" t="s">
        <v>314</v>
      </c>
      <c r="H194" s="261"/>
      <c r="I194" s="260"/>
      <c r="J194" s="259" t="s">
        <v>648</v>
      </c>
      <c r="K194" s="260"/>
    </row>
    <row r="195" spans="2:11" ht="12.75">
      <c r="B195" s="259" t="s">
        <v>234</v>
      </c>
      <c r="C195" s="260"/>
      <c r="D195" s="47" t="s">
        <v>659</v>
      </c>
      <c r="E195" s="259" t="s">
        <v>250</v>
      </c>
      <c r="F195" s="260"/>
      <c r="G195" s="259" t="s">
        <v>314</v>
      </c>
      <c r="H195" s="261"/>
      <c r="I195" s="260"/>
      <c r="J195" s="259" t="s">
        <v>660</v>
      </c>
      <c r="K195" s="260"/>
    </row>
    <row r="196" spans="2:11" ht="12.75">
      <c r="B196" s="259" t="s">
        <v>288</v>
      </c>
      <c r="C196" s="260"/>
      <c r="D196" s="47" t="s">
        <v>694</v>
      </c>
      <c r="E196" s="259" t="s">
        <v>250</v>
      </c>
      <c r="F196" s="260"/>
      <c r="G196" s="259" t="s">
        <v>695</v>
      </c>
      <c r="H196" s="261"/>
      <c r="I196" s="260"/>
      <c r="J196" s="259" t="s">
        <v>696</v>
      </c>
      <c r="K196" s="260"/>
    </row>
    <row r="197" spans="2:11" ht="12.75">
      <c r="B197" s="259" t="s">
        <v>308</v>
      </c>
      <c r="C197" s="260"/>
      <c r="D197" s="47" t="s">
        <v>705</v>
      </c>
      <c r="E197" s="259" t="s">
        <v>250</v>
      </c>
      <c r="F197" s="260"/>
      <c r="G197" s="259" t="s">
        <v>659</v>
      </c>
      <c r="H197" s="261"/>
      <c r="I197" s="260"/>
      <c r="J197" s="259" t="s">
        <v>706</v>
      </c>
      <c r="K197" s="260"/>
    </row>
    <row r="198" spans="2:11" ht="12.75">
      <c r="B198" s="259" t="s">
        <v>308</v>
      </c>
      <c r="C198" s="260"/>
      <c r="D198" s="151" t="s">
        <v>432</v>
      </c>
      <c r="E198" s="259" t="s">
        <v>250</v>
      </c>
      <c r="F198" s="260"/>
      <c r="G198" s="262" t="s">
        <v>410</v>
      </c>
      <c r="H198" s="291"/>
      <c r="I198" s="292"/>
      <c r="J198" s="259" t="s">
        <v>709</v>
      </c>
      <c r="K198" s="260"/>
    </row>
    <row r="199" spans="2:11" ht="12.75">
      <c r="B199" s="259" t="s">
        <v>234</v>
      </c>
      <c r="C199" s="260"/>
      <c r="D199" s="47" t="s">
        <v>314</v>
      </c>
      <c r="E199" s="259" t="s">
        <v>250</v>
      </c>
      <c r="F199" s="260"/>
      <c r="G199" s="259" t="s">
        <v>425</v>
      </c>
      <c r="H199" s="261"/>
      <c r="I199" s="260"/>
      <c r="J199" s="259" t="s">
        <v>710</v>
      </c>
      <c r="K199" s="260"/>
    </row>
    <row r="200" spans="2:11" ht="12.75">
      <c r="B200" s="259" t="s">
        <v>234</v>
      </c>
      <c r="C200" s="260"/>
      <c r="D200" s="47" t="s">
        <v>410</v>
      </c>
      <c r="E200" s="259" t="s">
        <v>250</v>
      </c>
      <c r="F200" s="260"/>
      <c r="G200" s="259" t="s">
        <v>432</v>
      </c>
      <c r="H200" s="261"/>
      <c r="I200" s="260"/>
      <c r="J200" s="259" t="s">
        <v>715</v>
      </c>
      <c r="K200" s="260"/>
    </row>
    <row r="201" spans="2:11" ht="12.75">
      <c r="B201" s="259" t="s">
        <v>185</v>
      </c>
      <c r="C201" s="260"/>
      <c r="D201" s="47" t="s">
        <v>705</v>
      </c>
      <c r="E201" s="259" t="s">
        <v>210</v>
      </c>
      <c r="F201" s="260"/>
      <c r="G201" s="259" t="s">
        <v>615</v>
      </c>
      <c r="H201" s="261"/>
      <c r="I201" s="260"/>
      <c r="J201" s="259" t="s">
        <v>730</v>
      </c>
      <c r="K201" s="260"/>
    </row>
    <row r="202" spans="2:11" ht="12.75">
      <c r="B202" s="259" t="s">
        <v>244</v>
      </c>
      <c r="C202" s="260"/>
      <c r="D202" s="47" t="s">
        <v>763</v>
      </c>
      <c r="E202" s="259" t="s">
        <v>241</v>
      </c>
      <c r="F202" s="260"/>
      <c r="G202" s="259" t="s">
        <v>488</v>
      </c>
      <c r="H202" s="261"/>
      <c r="I202" s="260"/>
      <c r="J202" s="259" t="s">
        <v>764</v>
      </c>
      <c r="K202" s="260"/>
    </row>
    <row r="203" spans="2:11" ht="24.75" customHeight="1">
      <c r="B203" s="259" t="s">
        <v>234</v>
      </c>
      <c r="C203" s="260"/>
      <c r="D203" s="47" t="s">
        <v>790</v>
      </c>
      <c r="E203" s="259" t="s">
        <v>250</v>
      </c>
      <c r="F203" s="260"/>
      <c r="G203" s="259" t="s">
        <v>791</v>
      </c>
      <c r="H203" s="261"/>
      <c r="I203" s="260"/>
      <c r="J203" s="259" t="s">
        <v>792</v>
      </c>
      <c r="K203" s="260"/>
    </row>
    <row r="204" spans="2:11" ht="12.75">
      <c r="B204" s="259" t="s">
        <v>308</v>
      </c>
      <c r="C204" s="260"/>
      <c r="D204" s="47" t="s">
        <v>799</v>
      </c>
      <c r="E204" s="259" t="s">
        <v>250</v>
      </c>
      <c r="F204" s="260"/>
      <c r="G204" s="259" t="s">
        <v>800</v>
      </c>
      <c r="H204" s="261"/>
      <c r="I204" s="260"/>
      <c r="J204" s="259" t="s">
        <v>801</v>
      </c>
      <c r="K204" s="260"/>
    </row>
    <row r="205" spans="2:11" ht="27" customHeight="1">
      <c r="B205" s="259" t="s">
        <v>244</v>
      </c>
      <c r="C205" s="260"/>
      <c r="D205" s="47" t="s">
        <v>804</v>
      </c>
      <c r="E205" s="259" t="s">
        <v>241</v>
      </c>
      <c r="F205" s="260"/>
      <c r="G205" s="259" t="s">
        <v>805</v>
      </c>
      <c r="H205" s="261"/>
      <c r="I205" s="260"/>
      <c r="J205" s="259" t="s">
        <v>806</v>
      </c>
      <c r="K205" s="260"/>
    </row>
    <row r="206" spans="2:11" ht="12.75">
      <c r="B206" s="259" t="s">
        <v>185</v>
      </c>
      <c r="C206" s="260"/>
      <c r="D206" s="47" t="s">
        <v>340</v>
      </c>
      <c r="E206" s="259" t="s">
        <v>210</v>
      </c>
      <c r="F206" s="260"/>
      <c r="G206" s="259" t="s">
        <v>477</v>
      </c>
      <c r="H206" s="261"/>
      <c r="I206" s="260"/>
      <c r="J206" s="259" t="s">
        <v>808</v>
      </c>
      <c r="K206" s="260"/>
    </row>
    <row r="207" spans="2:11" ht="12.75">
      <c r="B207" s="259" t="s">
        <v>234</v>
      </c>
      <c r="C207" s="260"/>
      <c r="D207" s="47" t="s">
        <v>432</v>
      </c>
      <c r="E207" s="259" t="s">
        <v>250</v>
      </c>
      <c r="F207" s="260"/>
      <c r="G207" s="259" t="s">
        <v>833</v>
      </c>
      <c r="H207" s="261"/>
      <c r="I207" s="260"/>
      <c r="J207" s="259" t="s">
        <v>834</v>
      </c>
      <c r="K207" s="260"/>
    </row>
    <row r="208" spans="2:11" ht="12.75">
      <c r="B208" s="259" t="s">
        <v>308</v>
      </c>
      <c r="C208" s="260"/>
      <c r="D208" s="47" t="s">
        <v>615</v>
      </c>
      <c r="E208" s="259" t="s">
        <v>250</v>
      </c>
      <c r="F208" s="260"/>
      <c r="G208" s="259" t="s">
        <v>432</v>
      </c>
      <c r="H208" s="261"/>
      <c r="I208" s="260"/>
      <c r="J208" s="259" t="s">
        <v>877</v>
      </c>
      <c r="K208" s="260"/>
    </row>
    <row r="209" spans="2:11" ht="12.75">
      <c r="B209" s="259" t="s">
        <v>234</v>
      </c>
      <c r="C209" s="260"/>
      <c r="D209" s="47" t="s">
        <v>884</v>
      </c>
      <c r="E209" s="259" t="s">
        <v>250</v>
      </c>
      <c r="F209" s="260"/>
      <c r="G209" s="259" t="s">
        <v>626</v>
      </c>
      <c r="H209" s="261"/>
      <c r="I209" s="260"/>
      <c r="J209" s="259" t="s">
        <v>885</v>
      </c>
      <c r="K209" s="260"/>
    </row>
    <row r="210" spans="2:11" ht="12.75">
      <c r="B210" s="259" t="s">
        <v>308</v>
      </c>
      <c r="C210" s="260"/>
      <c r="D210" s="47" t="s">
        <v>626</v>
      </c>
      <c r="E210" s="259" t="s">
        <v>250</v>
      </c>
      <c r="F210" s="260"/>
      <c r="G210" s="259" t="s">
        <v>889</v>
      </c>
      <c r="H210" s="261"/>
      <c r="I210" s="260"/>
      <c r="J210" s="259" t="s">
        <v>890</v>
      </c>
      <c r="K210" s="260"/>
    </row>
    <row r="211" spans="2:11" ht="12.75">
      <c r="B211" s="259" t="s">
        <v>234</v>
      </c>
      <c r="C211" s="260"/>
      <c r="D211" s="47" t="s">
        <v>432</v>
      </c>
      <c r="E211" s="259" t="s">
        <v>250</v>
      </c>
      <c r="F211" s="260"/>
      <c r="G211" s="259" t="s">
        <v>615</v>
      </c>
      <c r="H211" s="261"/>
      <c r="I211" s="260"/>
      <c r="J211" s="259" t="s">
        <v>908</v>
      </c>
      <c r="K211" s="260"/>
    </row>
    <row r="212" spans="2:11" ht="12.75">
      <c r="B212" s="259" t="s">
        <v>234</v>
      </c>
      <c r="C212" s="260"/>
      <c r="D212" s="47" t="s">
        <v>957</v>
      </c>
      <c r="E212" s="259" t="s">
        <v>250</v>
      </c>
      <c r="F212" s="260"/>
      <c r="G212" s="259" t="s">
        <v>805</v>
      </c>
      <c r="H212" s="261"/>
      <c r="I212" s="260"/>
      <c r="J212" s="259" t="s">
        <v>956</v>
      </c>
      <c r="K212" s="260"/>
    </row>
    <row r="213" spans="2:11" ht="12.75">
      <c r="B213" s="259" t="s">
        <v>234</v>
      </c>
      <c r="C213" s="260"/>
      <c r="D213" s="47" t="s">
        <v>404</v>
      </c>
      <c r="E213" s="259" t="s">
        <v>250</v>
      </c>
      <c r="F213" s="260"/>
      <c r="G213" s="259" t="s">
        <v>974</v>
      </c>
      <c r="H213" s="261"/>
      <c r="I213" s="260"/>
      <c r="J213" s="259" t="s">
        <v>975</v>
      </c>
      <c r="K213" s="260"/>
    </row>
    <row r="214" spans="2:11" ht="12.75">
      <c r="B214" s="259" t="s">
        <v>244</v>
      </c>
      <c r="C214" s="260"/>
      <c r="D214" s="47" t="s">
        <v>740</v>
      </c>
      <c r="E214" s="259" t="s">
        <v>241</v>
      </c>
      <c r="F214" s="260"/>
      <c r="G214" s="259" t="s">
        <v>977</v>
      </c>
      <c r="H214" s="261"/>
      <c r="I214" s="260"/>
      <c r="J214" s="259" t="s">
        <v>978</v>
      </c>
      <c r="K214" s="260"/>
    </row>
    <row r="215" spans="2:11" ht="12.75">
      <c r="B215" s="259" t="s">
        <v>308</v>
      </c>
      <c r="C215" s="260"/>
      <c r="D215" s="47" t="s">
        <v>833</v>
      </c>
      <c r="E215" s="259" t="s">
        <v>250</v>
      </c>
      <c r="F215" s="260"/>
      <c r="G215" s="259" t="s">
        <v>323</v>
      </c>
      <c r="H215" s="261"/>
      <c r="I215" s="260"/>
      <c r="J215" s="259" t="s">
        <v>982</v>
      </c>
      <c r="K215" s="260"/>
    </row>
    <row r="216" spans="2:11" ht="12.75">
      <c r="B216" s="259" t="s">
        <v>897</v>
      </c>
      <c r="C216" s="260"/>
      <c r="D216" s="47" t="s">
        <v>884</v>
      </c>
      <c r="E216" s="259" t="s">
        <v>250</v>
      </c>
      <c r="F216" s="260"/>
      <c r="G216" s="259" t="s">
        <v>626</v>
      </c>
      <c r="H216" s="261"/>
      <c r="I216" s="260"/>
      <c r="J216" s="259" t="s">
        <v>983</v>
      </c>
      <c r="K216" s="260"/>
    </row>
    <row r="217" spans="2:11" ht="12.75">
      <c r="B217" s="259" t="s">
        <v>234</v>
      </c>
      <c r="C217" s="260"/>
      <c r="D217" s="47" t="s">
        <v>974</v>
      </c>
      <c r="E217" s="259" t="s">
        <v>250</v>
      </c>
      <c r="F217" s="260"/>
      <c r="G217" s="259" t="s">
        <v>659</v>
      </c>
      <c r="H217" s="261"/>
      <c r="I217" s="260"/>
      <c r="J217" s="259" t="s">
        <v>984</v>
      </c>
      <c r="K217" s="260"/>
    </row>
    <row r="218" spans="2:11" ht="12.75">
      <c r="B218" s="259" t="s">
        <v>919</v>
      </c>
      <c r="C218" s="260"/>
      <c r="D218" s="151" t="s">
        <v>805</v>
      </c>
      <c r="E218" s="259" t="s">
        <v>250</v>
      </c>
      <c r="F218" s="260"/>
      <c r="G218" s="262" t="s">
        <v>884</v>
      </c>
      <c r="H218" s="291"/>
      <c r="I218" s="292"/>
      <c r="J218" s="259" t="s">
        <v>989</v>
      </c>
      <c r="K218" s="260"/>
    </row>
    <row r="219" spans="2:11" ht="12.75">
      <c r="B219" s="259" t="s">
        <v>308</v>
      </c>
      <c r="C219" s="260"/>
      <c r="D219" s="47" t="s">
        <v>615</v>
      </c>
      <c r="E219" s="259" t="s">
        <v>250</v>
      </c>
      <c r="F219" s="260"/>
      <c r="G219" s="259" t="s">
        <v>432</v>
      </c>
      <c r="H219" s="261"/>
      <c r="I219" s="260"/>
      <c r="J219" s="259" t="s">
        <v>989</v>
      </c>
      <c r="K219" s="260"/>
    </row>
    <row r="220" spans="2:11" ht="12.75">
      <c r="B220" s="259" t="s">
        <v>234</v>
      </c>
      <c r="C220" s="260"/>
      <c r="D220" s="47" t="s">
        <v>1002</v>
      </c>
      <c r="E220" s="259" t="s">
        <v>250</v>
      </c>
      <c r="F220" s="260"/>
      <c r="G220" s="259" t="s">
        <v>1003</v>
      </c>
      <c r="H220" s="261"/>
      <c r="I220" s="260"/>
      <c r="J220" s="259" t="s">
        <v>1004</v>
      </c>
      <c r="K220" s="260"/>
    </row>
    <row r="221" spans="2:11" ht="12.75">
      <c r="B221" s="259" t="s">
        <v>308</v>
      </c>
      <c r="C221" s="260"/>
      <c r="D221" s="47" t="s">
        <v>426</v>
      </c>
      <c r="E221" s="259" t="s">
        <v>250</v>
      </c>
      <c r="F221" s="260"/>
      <c r="G221" s="259" t="s">
        <v>404</v>
      </c>
      <c r="H221" s="261"/>
      <c r="I221" s="260"/>
      <c r="J221" s="259" t="s">
        <v>1017</v>
      </c>
      <c r="K221" s="260"/>
    </row>
    <row r="222" spans="2:11" ht="12.75">
      <c r="B222" s="259" t="s">
        <v>308</v>
      </c>
      <c r="C222" s="260"/>
      <c r="D222" s="47" t="s">
        <v>659</v>
      </c>
      <c r="E222" s="259" t="s">
        <v>250</v>
      </c>
      <c r="F222" s="260"/>
      <c r="G222" s="259" t="s">
        <v>314</v>
      </c>
      <c r="H222" s="261"/>
      <c r="I222" s="260"/>
      <c r="J222" s="259" t="s">
        <v>1028</v>
      </c>
      <c r="K222" s="260"/>
    </row>
    <row r="223" spans="2:11" ht="12.75">
      <c r="B223" s="259" t="s">
        <v>234</v>
      </c>
      <c r="C223" s="260"/>
      <c r="D223" s="47" t="s">
        <v>695</v>
      </c>
      <c r="E223" s="259" t="s">
        <v>250</v>
      </c>
      <c r="F223" s="260"/>
      <c r="G223" s="259" t="s">
        <v>1039</v>
      </c>
      <c r="H223" s="261"/>
      <c r="I223" s="260"/>
      <c r="J223" s="259" t="s">
        <v>1040</v>
      </c>
      <c r="K223" s="260"/>
    </row>
    <row r="224" spans="2:11" ht="12.75">
      <c r="B224" s="259" t="s">
        <v>874</v>
      </c>
      <c r="C224" s="260"/>
      <c r="D224" s="47" t="s">
        <v>323</v>
      </c>
      <c r="E224" s="259" t="s">
        <v>250</v>
      </c>
      <c r="F224" s="260"/>
      <c r="G224" s="262" t="s">
        <v>1054</v>
      </c>
      <c r="H224" s="291"/>
      <c r="I224" s="292"/>
      <c r="J224" s="259" t="s">
        <v>1055</v>
      </c>
      <c r="K224" s="260"/>
    </row>
    <row r="225" spans="2:11" ht="12.75">
      <c r="B225" s="259" t="s">
        <v>234</v>
      </c>
      <c r="C225" s="260"/>
      <c r="D225" s="47" t="s">
        <v>1059</v>
      </c>
      <c r="E225" s="259" t="s">
        <v>250</v>
      </c>
      <c r="F225" s="260"/>
      <c r="G225" s="262" t="s">
        <v>1060</v>
      </c>
      <c r="H225" s="291"/>
      <c r="I225" s="292"/>
      <c r="J225" s="259" t="s">
        <v>1061</v>
      </c>
      <c r="K225" s="260"/>
    </row>
    <row r="226" spans="2:11" ht="12.75">
      <c r="B226" s="259" t="s">
        <v>234</v>
      </c>
      <c r="C226" s="260"/>
      <c r="D226" s="47" t="s">
        <v>432</v>
      </c>
      <c r="E226" s="259" t="s">
        <v>250</v>
      </c>
      <c r="F226" s="260"/>
      <c r="G226" s="259" t="s">
        <v>1066</v>
      </c>
      <c r="H226" s="261"/>
      <c r="I226" s="260"/>
      <c r="J226" s="259" t="s">
        <v>1067</v>
      </c>
      <c r="K226" s="260"/>
    </row>
    <row r="227" spans="2:11" ht="12.75">
      <c r="B227" s="259" t="s">
        <v>308</v>
      </c>
      <c r="C227" s="260"/>
      <c r="D227" s="47" t="s">
        <v>1060</v>
      </c>
      <c r="E227" s="259" t="s">
        <v>250</v>
      </c>
      <c r="F227" s="260"/>
      <c r="G227" s="259" t="s">
        <v>974</v>
      </c>
      <c r="H227" s="261"/>
      <c r="I227" s="260"/>
      <c r="J227" s="259" t="s">
        <v>1077</v>
      </c>
      <c r="K227" s="260"/>
    </row>
    <row r="228" spans="2:11" ht="12.75">
      <c r="B228" s="259" t="s">
        <v>308</v>
      </c>
      <c r="C228" s="260"/>
      <c r="D228" s="47" t="s">
        <v>694</v>
      </c>
      <c r="E228" s="259" t="s">
        <v>250</v>
      </c>
      <c r="F228" s="260"/>
      <c r="G228" s="259" t="s">
        <v>695</v>
      </c>
      <c r="H228" s="261"/>
      <c r="I228" s="260"/>
      <c r="J228" s="259" t="s">
        <v>1082</v>
      </c>
      <c r="K228" s="260"/>
    </row>
    <row r="229" spans="2:11" ht="12.75">
      <c r="B229" s="259" t="s">
        <v>308</v>
      </c>
      <c r="C229" s="260"/>
      <c r="D229" s="47" t="s">
        <v>805</v>
      </c>
      <c r="E229" s="259" t="s">
        <v>250</v>
      </c>
      <c r="F229" s="260"/>
      <c r="G229" s="259" t="s">
        <v>626</v>
      </c>
      <c r="H229" s="261"/>
      <c r="I229" s="260"/>
      <c r="J229" s="259" t="s">
        <v>1083</v>
      </c>
      <c r="K229" s="260"/>
    </row>
    <row r="230" spans="2:11" ht="12.75">
      <c r="B230" s="259" t="s">
        <v>185</v>
      </c>
      <c r="C230" s="260"/>
      <c r="D230" s="47" t="s">
        <v>1097</v>
      </c>
      <c r="E230" s="259" t="s">
        <v>188</v>
      </c>
      <c r="F230" s="260"/>
      <c r="G230" s="259" t="s">
        <v>1084</v>
      </c>
      <c r="H230" s="261"/>
      <c r="I230" s="260"/>
      <c r="J230" s="259" t="s">
        <v>1086</v>
      </c>
      <c r="K230" s="260"/>
    </row>
    <row r="231" spans="2:11" ht="12.75">
      <c r="B231" s="259" t="s">
        <v>234</v>
      </c>
      <c r="C231" s="260"/>
      <c r="D231" s="47" t="s">
        <v>974</v>
      </c>
      <c r="E231" s="259" t="s">
        <v>250</v>
      </c>
      <c r="F231" s="260"/>
      <c r="G231" s="259" t="s">
        <v>1060</v>
      </c>
      <c r="H231" s="261"/>
      <c r="I231" s="260"/>
      <c r="J231" s="259" t="s">
        <v>1089</v>
      </c>
      <c r="K231" s="260"/>
    </row>
    <row r="232" spans="2:11" ht="12.75">
      <c r="B232" s="259" t="s">
        <v>308</v>
      </c>
      <c r="C232" s="260"/>
      <c r="D232" s="47" t="s">
        <v>1091</v>
      </c>
      <c r="E232" s="259" t="s">
        <v>250</v>
      </c>
      <c r="F232" s="260"/>
      <c r="G232" s="259" t="s">
        <v>1059</v>
      </c>
      <c r="H232" s="261"/>
      <c r="I232" s="260"/>
      <c r="J232" s="259" t="s">
        <v>1092</v>
      </c>
      <c r="K232" s="260"/>
    </row>
    <row r="233" spans="2:11" ht="63.75">
      <c r="B233" s="259" t="s">
        <v>185</v>
      </c>
      <c r="C233" s="260"/>
      <c r="D233" s="151" t="s">
        <v>1096</v>
      </c>
      <c r="E233" s="259" t="s">
        <v>198</v>
      </c>
      <c r="F233" s="260"/>
      <c r="G233" s="262" t="s">
        <v>1094</v>
      </c>
      <c r="H233" s="261"/>
      <c r="I233" s="260"/>
      <c r="J233" s="259" t="s">
        <v>1095</v>
      </c>
      <c r="K233" s="260"/>
    </row>
    <row r="234" spans="2:11" ht="12.75">
      <c r="B234" s="259" t="s">
        <v>234</v>
      </c>
      <c r="C234" s="260"/>
      <c r="D234" s="47" t="s">
        <v>1105</v>
      </c>
      <c r="E234" s="259" t="s">
        <v>250</v>
      </c>
      <c r="F234" s="260"/>
      <c r="G234" s="259" t="s">
        <v>1091</v>
      </c>
      <c r="H234" s="261"/>
      <c r="I234" s="260"/>
      <c r="J234" s="259" t="s">
        <v>1106</v>
      </c>
      <c r="K234" s="260"/>
    </row>
    <row r="235" spans="2:11" ht="12.75">
      <c r="B235" s="259" t="s">
        <v>244</v>
      </c>
      <c r="C235" s="260"/>
      <c r="D235" s="47" t="s">
        <v>1119</v>
      </c>
      <c r="E235" s="259" t="s">
        <v>241</v>
      </c>
      <c r="F235" s="260"/>
      <c r="G235" s="259" t="s">
        <v>1120</v>
      </c>
      <c r="H235" s="261"/>
      <c r="I235" s="260"/>
      <c r="J235" s="259" t="s">
        <v>1121</v>
      </c>
      <c r="K235" s="260"/>
    </row>
    <row r="236" spans="2:11" ht="12.75">
      <c r="B236" s="259" t="s">
        <v>234</v>
      </c>
      <c r="C236" s="260"/>
      <c r="D236" s="47" t="s">
        <v>1173</v>
      </c>
      <c r="E236" s="259" t="s">
        <v>250</v>
      </c>
      <c r="F236" s="260"/>
      <c r="G236" s="259" t="s">
        <v>1174</v>
      </c>
      <c r="H236" s="261"/>
      <c r="I236" s="260"/>
      <c r="J236" s="259" t="s">
        <v>1175</v>
      </c>
      <c r="K236" s="260"/>
    </row>
    <row r="237" spans="2:11" ht="12.75">
      <c r="B237" s="259"/>
      <c r="C237" s="260"/>
      <c r="D237" s="47"/>
      <c r="E237" s="259"/>
      <c r="F237" s="260"/>
      <c r="G237" s="259"/>
      <c r="H237" s="261"/>
      <c r="I237" s="260"/>
      <c r="J237" s="259"/>
      <c r="K237" s="260"/>
    </row>
  </sheetData>
  <mergeCells count="338">
    <mergeCell ref="B237:C237"/>
    <mergeCell ref="E237:F237"/>
    <mergeCell ref="G237:I237"/>
    <mergeCell ref="J237:K237"/>
    <mergeCell ref="B236:C236"/>
    <mergeCell ref="E236:F236"/>
    <mergeCell ref="G236:I236"/>
    <mergeCell ref="J236:K236"/>
    <mergeCell ref="C11:D11"/>
    <mergeCell ref="AD57:AE57"/>
    <mergeCell ref="X32:Y32"/>
    <mergeCell ref="X33:Y33"/>
    <mergeCell ref="X35:Y35"/>
    <mergeCell ref="W40:AD40"/>
    <mergeCell ref="X34:Y34"/>
    <mergeCell ref="B55:D55"/>
    <mergeCell ref="B57:I57"/>
    <mergeCell ref="N43:S43"/>
    <mergeCell ref="W10:AB10"/>
    <mergeCell ref="X11:Y11"/>
    <mergeCell ref="X30:Y30"/>
    <mergeCell ref="X31:Y31"/>
    <mergeCell ref="Z31:AA31"/>
    <mergeCell ref="Z30:AA30"/>
    <mergeCell ref="Z11:AA11"/>
    <mergeCell ref="B224:C224"/>
    <mergeCell ref="E224:F224"/>
    <mergeCell ref="G224:I224"/>
    <mergeCell ref="J224:K224"/>
    <mergeCell ref="B223:C223"/>
    <mergeCell ref="E223:F223"/>
    <mergeCell ref="G223:I223"/>
    <mergeCell ref="J223:K223"/>
    <mergeCell ref="B217:C217"/>
    <mergeCell ref="E217:F217"/>
    <mergeCell ref="G217:I217"/>
    <mergeCell ref="J217:K217"/>
    <mergeCell ref="B216:C216"/>
    <mergeCell ref="E216:F216"/>
    <mergeCell ref="G216:I216"/>
    <mergeCell ref="J216:K216"/>
    <mergeCell ref="B215:C215"/>
    <mergeCell ref="E215:F215"/>
    <mergeCell ref="G215:I215"/>
    <mergeCell ref="J215:K215"/>
    <mergeCell ref="B214:C214"/>
    <mergeCell ref="E214:F214"/>
    <mergeCell ref="G214:I214"/>
    <mergeCell ref="J214:K214"/>
    <mergeCell ref="B209:C209"/>
    <mergeCell ref="J209:K209"/>
    <mergeCell ref="B208:C208"/>
    <mergeCell ref="E208:F208"/>
    <mergeCell ref="G208:I208"/>
    <mergeCell ref="J208:K208"/>
    <mergeCell ref="E209:F209"/>
    <mergeCell ref="G209:I209"/>
    <mergeCell ref="B207:C207"/>
    <mergeCell ref="E207:F207"/>
    <mergeCell ref="G207:I207"/>
    <mergeCell ref="J207:K207"/>
    <mergeCell ref="B206:C206"/>
    <mergeCell ref="E206:F206"/>
    <mergeCell ref="G206:I206"/>
    <mergeCell ref="J206:K206"/>
    <mergeCell ref="B205:C205"/>
    <mergeCell ref="E205:F205"/>
    <mergeCell ref="G205:I205"/>
    <mergeCell ref="J205:K205"/>
    <mergeCell ref="B204:C204"/>
    <mergeCell ref="E204:F204"/>
    <mergeCell ref="G204:I204"/>
    <mergeCell ref="J204:K204"/>
    <mergeCell ref="B203:C203"/>
    <mergeCell ref="E203:F203"/>
    <mergeCell ref="G203:I203"/>
    <mergeCell ref="J203:K203"/>
    <mergeCell ref="B202:C202"/>
    <mergeCell ref="E202:F202"/>
    <mergeCell ref="G202:I202"/>
    <mergeCell ref="J202:K202"/>
    <mergeCell ref="B201:C201"/>
    <mergeCell ref="E201:F201"/>
    <mergeCell ref="G201:I201"/>
    <mergeCell ref="J201:K201"/>
    <mergeCell ref="B200:C200"/>
    <mergeCell ref="E200:F200"/>
    <mergeCell ref="G200:I200"/>
    <mergeCell ref="J200:K200"/>
    <mergeCell ref="B199:C199"/>
    <mergeCell ref="E199:F199"/>
    <mergeCell ref="G199:I199"/>
    <mergeCell ref="J199:K199"/>
    <mergeCell ref="B198:C198"/>
    <mergeCell ref="E198:F198"/>
    <mergeCell ref="G198:I198"/>
    <mergeCell ref="J198:K198"/>
    <mergeCell ref="B197:C197"/>
    <mergeCell ref="E197:F197"/>
    <mergeCell ref="G197:I197"/>
    <mergeCell ref="J197:K197"/>
    <mergeCell ref="B196:C196"/>
    <mergeCell ref="E196:F196"/>
    <mergeCell ref="G196:I196"/>
    <mergeCell ref="J196:K196"/>
    <mergeCell ref="B195:C195"/>
    <mergeCell ref="E195:F195"/>
    <mergeCell ref="G195:I195"/>
    <mergeCell ref="J195:K195"/>
    <mergeCell ref="B194:C194"/>
    <mergeCell ref="E194:F194"/>
    <mergeCell ref="G194:I194"/>
    <mergeCell ref="J194:K194"/>
    <mergeCell ref="B193:C193"/>
    <mergeCell ref="E193:F193"/>
    <mergeCell ref="G193:I193"/>
    <mergeCell ref="J193:K193"/>
    <mergeCell ref="B192:C192"/>
    <mergeCell ref="E192:F192"/>
    <mergeCell ref="G192:I192"/>
    <mergeCell ref="J192:K192"/>
    <mergeCell ref="B191:C191"/>
    <mergeCell ref="E191:F191"/>
    <mergeCell ref="G191:I191"/>
    <mergeCell ref="J191:K191"/>
    <mergeCell ref="B190:C190"/>
    <mergeCell ref="E190:F190"/>
    <mergeCell ref="G190:I190"/>
    <mergeCell ref="J190:K190"/>
    <mergeCell ref="B189:C189"/>
    <mergeCell ref="E189:F189"/>
    <mergeCell ref="G189:I189"/>
    <mergeCell ref="J189:K189"/>
    <mergeCell ref="B188:C188"/>
    <mergeCell ref="E188:F188"/>
    <mergeCell ref="G188:I188"/>
    <mergeCell ref="J188:K188"/>
    <mergeCell ref="B186:C186"/>
    <mergeCell ref="J186:K186"/>
    <mergeCell ref="B187:C187"/>
    <mergeCell ref="E187:F187"/>
    <mergeCell ref="G187:I187"/>
    <mergeCell ref="J187:K187"/>
    <mergeCell ref="D186:I186"/>
    <mergeCell ref="B184:C184"/>
    <mergeCell ref="J184:K184"/>
    <mergeCell ref="B185:C185"/>
    <mergeCell ref="E185:F185"/>
    <mergeCell ref="G185:I185"/>
    <mergeCell ref="J185:K185"/>
    <mergeCell ref="E184:F184"/>
    <mergeCell ref="G184:I184"/>
    <mergeCell ref="B183:C183"/>
    <mergeCell ref="E183:F183"/>
    <mergeCell ref="G183:I183"/>
    <mergeCell ref="J183:K183"/>
    <mergeCell ref="B182:C182"/>
    <mergeCell ref="E182:F182"/>
    <mergeCell ref="G182:I182"/>
    <mergeCell ref="J182:K182"/>
    <mergeCell ref="B181:C181"/>
    <mergeCell ref="E181:F181"/>
    <mergeCell ref="G181:I181"/>
    <mergeCell ref="J181:K181"/>
    <mergeCell ref="B180:C180"/>
    <mergeCell ref="E180:F180"/>
    <mergeCell ref="G180:I180"/>
    <mergeCell ref="J180:K180"/>
    <mergeCell ref="B179:C179"/>
    <mergeCell ref="E179:F179"/>
    <mergeCell ref="G179:I179"/>
    <mergeCell ref="J179:K179"/>
    <mergeCell ref="B178:C178"/>
    <mergeCell ref="E178:F178"/>
    <mergeCell ref="G178:I178"/>
    <mergeCell ref="J178:K178"/>
    <mergeCell ref="B177:C177"/>
    <mergeCell ref="E177:F177"/>
    <mergeCell ref="G177:I177"/>
    <mergeCell ref="J177:K177"/>
    <mergeCell ref="B176:C176"/>
    <mergeCell ref="E176:F176"/>
    <mergeCell ref="G176:I176"/>
    <mergeCell ref="J176:K176"/>
    <mergeCell ref="B175:C175"/>
    <mergeCell ref="E175:F175"/>
    <mergeCell ref="G175:I175"/>
    <mergeCell ref="J175:K175"/>
    <mergeCell ref="B174:C174"/>
    <mergeCell ref="E174:F174"/>
    <mergeCell ref="G174:I174"/>
    <mergeCell ref="J174:K174"/>
    <mergeCell ref="B173:C173"/>
    <mergeCell ref="E173:F173"/>
    <mergeCell ref="G173:I173"/>
    <mergeCell ref="J173:K173"/>
    <mergeCell ref="B172:C172"/>
    <mergeCell ref="E172:F172"/>
    <mergeCell ref="G172:I172"/>
    <mergeCell ref="J172:K172"/>
    <mergeCell ref="B171:C171"/>
    <mergeCell ref="E171:F171"/>
    <mergeCell ref="G171:I171"/>
    <mergeCell ref="J171:K171"/>
    <mergeCell ref="B170:C170"/>
    <mergeCell ref="E170:F170"/>
    <mergeCell ref="G170:I170"/>
    <mergeCell ref="J170:K170"/>
    <mergeCell ref="B169:C169"/>
    <mergeCell ref="E169:F169"/>
    <mergeCell ref="G169:I169"/>
    <mergeCell ref="J169:K169"/>
    <mergeCell ref="B168:C168"/>
    <mergeCell ref="E168:F168"/>
    <mergeCell ref="G168:I168"/>
    <mergeCell ref="J168:K168"/>
    <mergeCell ref="B144:D144"/>
    <mergeCell ref="B167:K167"/>
    <mergeCell ref="B146:K146"/>
    <mergeCell ref="B153:D153"/>
    <mergeCell ref="B154:I154"/>
    <mergeCell ref="B162:D162"/>
    <mergeCell ref="B164:D164"/>
    <mergeCell ref="B132:I132"/>
    <mergeCell ref="B117:D117"/>
    <mergeCell ref="B119:I119"/>
    <mergeCell ref="B99:D99"/>
    <mergeCell ref="B101:I101"/>
    <mergeCell ref="B130:D130"/>
    <mergeCell ref="C87:D87"/>
    <mergeCell ref="C89:D89"/>
    <mergeCell ref="C91:D91"/>
    <mergeCell ref="B93:K93"/>
    <mergeCell ref="C90:D90"/>
    <mergeCell ref="C88:D88"/>
    <mergeCell ref="B85:K85"/>
    <mergeCell ref="B83:D83"/>
    <mergeCell ref="B71:K71"/>
    <mergeCell ref="B75:D75"/>
    <mergeCell ref="B76:I76"/>
    <mergeCell ref="B81:D81"/>
    <mergeCell ref="B69:D69"/>
    <mergeCell ref="N20:R20"/>
    <mergeCell ref="B41:D41"/>
    <mergeCell ref="N30:R30"/>
    <mergeCell ref="B43:I43"/>
    <mergeCell ref="C12:D12"/>
    <mergeCell ref="B14:K14"/>
    <mergeCell ref="B20:D20"/>
    <mergeCell ref="B22:I22"/>
    <mergeCell ref="B6:K6"/>
    <mergeCell ref="C9:D9"/>
    <mergeCell ref="C10:D10"/>
    <mergeCell ref="N10:R10"/>
    <mergeCell ref="B210:C210"/>
    <mergeCell ref="E210:F210"/>
    <mergeCell ref="G210:I210"/>
    <mergeCell ref="J210:K210"/>
    <mergeCell ref="B211:C211"/>
    <mergeCell ref="E211:F211"/>
    <mergeCell ref="G211:I211"/>
    <mergeCell ref="J211:K211"/>
    <mergeCell ref="B212:C212"/>
    <mergeCell ref="E212:F212"/>
    <mergeCell ref="G212:I212"/>
    <mergeCell ref="J212:K212"/>
    <mergeCell ref="B213:C213"/>
    <mergeCell ref="E213:F213"/>
    <mergeCell ref="G213:I213"/>
    <mergeCell ref="J213:K213"/>
    <mergeCell ref="B218:C218"/>
    <mergeCell ref="E218:F218"/>
    <mergeCell ref="G218:I218"/>
    <mergeCell ref="J218:K218"/>
    <mergeCell ref="B219:C219"/>
    <mergeCell ref="E219:F219"/>
    <mergeCell ref="G219:I219"/>
    <mergeCell ref="J219:K219"/>
    <mergeCell ref="B220:C220"/>
    <mergeCell ref="E220:F220"/>
    <mergeCell ref="G220:I220"/>
    <mergeCell ref="J220:K220"/>
    <mergeCell ref="B221:C221"/>
    <mergeCell ref="E221:F221"/>
    <mergeCell ref="G221:I221"/>
    <mergeCell ref="J221:K221"/>
    <mergeCell ref="B222:C222"/>
    <mergeCell ref="E222:F222"/>
    <mergeCell ref="G222:I222"/>
    <mergeCell ref="J222:K222"/>
    <mergeCell ref="B225:C225"/>
    <mergeCell ref="E225:F225"/>
    <mergeCell ref="G225:I225"/>
    <mergeCell ref="J225:K225"/>
    <mergeCell ref="B226:C226"/>
    <mergeCell ref="E226:F226"/>
    <mergeCell ref="G226:I226"/>
    <mergeCell ref="J226:K226"/>
    <mergeCell ref="B227:C227"/>
    <mergeCell ref="E227:F227"/>
    <mergeCell ref="G227:I227"/>
    <mergeCell ref="J227:K227"/>
    <mergeCell ref="B228:C228"/>
    <mergeCell ref="E228:F228"/>
    <mergeCell ref="G228:I228"/>
    <mergeCell ref="J228:K228"/>
    <mergeCell ref="B229:C229"/>
    <mergeCell ref="E229:F229"/>
    <mergeCell ref="G229:I229"/>
    <mergeCell ref="J229:K229"/>
    <mergeCell ref="B230:C230"/>
    <mergeCell ref="E230:F230"/>
    <mergeCell ref="G230:I230"/>
    <mergeCell ref="J230:K230"/>
    <mergeCell ref="B231:C231"/>
    <mergeCell ref="E231:F231"/>
    <mergeCell ref="G231:I231"/>
    <mergeCell ref="J231:K231"/>
    <mergeCell ref="B232:C232"/>
    <mergeCell ref="E232:F232"/>
    <mergeCell ref="G232:I232"/>
    <mergeCell ref="J232:K232"/>
    <mergeCell ref="B233:C233"/>
    <mergeCell ref="E233:F233"/>
    <mergeCell ref="G233:I233"/>
    <mergeCell ref="J233:K233"/>
    <mergeCell ref="B234:C234"/>
    <mergeCell ref="E234:F234"/>
    <mergeCell ref="G234:I234"/>
    <mergeCell ref="J234:K234"/>
    <mergeCell ref="B235:C235"/>
    <mergeCell ref="E235:F235"/>
    <mergeCell ref="G235:I235"/>
    <mergeCell ref="J235:K235"/>
    <mergeCell ref="Z32:AA32"/>
    <mergeCell ref="Z33:AA33"/>
    <mergeCell ref="Z34:AA34"/>
    <mergeCell ref="Z35:AA35"/>
  </mergeCells>
  <printOptions/>
  <pageMargins left="0.75" right="0.75" top="1" bottom="1" header="0.4921259845" footer="0.4921259845"/>
  <pageSetup horizontalDpi="300" verticalDpi="300" orientation="portrait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88"/>
  <sheetViews>
    <sheetView workbookViewId="0" topLeftCell="A1">
      <selection activeCell="B178" sqref="B178:C178"/>
    </sheetView>
  </sheetViews>
  <sheetFormatPr defaultColWidth="11.421875" defaultRowHeight="12.75"/>
  <cols>
    <col min="1" max="1" width="3.7109375" style="1" customWidth="1"/>
    <col min="2" max="2" width="4.421875" style="1" customWidth="1"/>
    <col min="3" max="3" width="7.140625" style="1" customWidth="1"/>
    <col min="4" max="4" width="17.7109375" style="1" customWidth="1"/>
    <col min="5" max="7" width="5.57421875" style="1" customWidth="1"/>
    <col min="8" max="8" width="5.7109375" style="1" customWidth="1"/>
    <col min="9" max="9" width="7.00390625" style="1" customWidth="1"/>
    <col min="10" max="10" width="5.421875" style="1" customWidth="1"/>
    <col min="11" max="11" width="7.7109375" style="1" customWidth="1"/>
    <col min="12" max="12" width="2.57421875" style="1" customWidth="1"/>
    <col min="13" max="13" width="2.421875" style="1" customWidth="1"/>
    <col min="14" max="14" width="15.00390625" style="1" customWidth="1"/>
    <col min="15" max="16" width="8.00390625" style="1" customWidth="1"/>
    <col min="17" max="17" width="7.7109375" style="1" customWidth="1"/>
    <col min="18" max="18" width="12.57421875" style="1" customWidth="1"/>
    <col min="19" max="19" width="11.421875" style="1" customWidth="1"/>
    <col min="20" max="20" width="2.28125" style="1" customWidth="1"/>
    <col min="21" max="21" width="1.7109375" style="1" customWidth="1"/>
    <col min="22" max="22" width="2.140625" style="1" customWidth="1"/>
    <col min="23" max="23" width="14.00390625" style="1" customWidth="1"/>
    <col min="24" max="24" width="6.140625" style="1" customWidth="1"/>
    <col min="25" max="25" width="7.28125" style="1" customWidth="1"/>
    <col min="26" max="26" width="6.140625" style="1" customWidth="1"/>
    <col min="27" max="27" width="7.28125" style="1" customWidth="1"/>
    <col min="28" max="16384" width="11.421875" style="1" customWidth="1"/>
  </cols>
  <sheetData>
    <row r="1" spans="13:21" ht="12.75">
      <c r="M1" s="2"/>
      <c r="U1" s="161"/>
    </row>
    <row r="2" spans="13:21" ht="12.75">
      <c r="M2" s="2"/>
      <c r="U2" s="161"/>
    </row>
    <row r="3" spans="13:21" ht="12.75">
      <c r="M3" s="2"/>
      <c r="U3" s="161"/>
    </row>
    <row r="4" spans="13:21" ht="12.75">
      <c r="M4" s="2"/>
      <c r="U4" s="161"/>
    </row>
    <row r="5" spans="13:21" ht="12.75">
      <c r="M5" s="2"/>
      <c r="U5" s="161"/>
    </row>
    <row r="6" spans="2:21" ht="13.5">
      <c r="B6" s="270" t="s">
        <v>0</v>
      </c>
      <c r="C6" s="270"/>
      <c r="D6" s="270"/>
      <c r="E6" s="270"/>
      <c r="F6" s="270"/>
      <c r="G6" s="270"/>
      <c r="H6" s="270"/>
      <c r="I6" s="270"/>
      <c r="J6" s="270"/>
      <c r="K6" s="270"/>
      <c r="L6" s="3"/>
      <c r="M6" s="4"/>
      <c r="U6" s="161"/>
    </row>
    <row r="7" spans="2:21" ht="12.7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U7" s="161"/>
    </row>
    <row r="8" spans="2:21" ht="13.5" thickBo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/>
      <c r="U8" s="161"/>
    </row>
    <row r="9" spans="2:21" ht="15" customHeight="1" thickBot="1">
      <c r="B9" s="7"/>
      <c r="C9" s="271" t="s">
        <v>66</v>
      </c>
      <c r="D9" s="271"/>
      <c r="E9" s="9" t="s">
        <v>2</v>
      </c>
      <c r="F9" s="9" t="s">
        <v>3</v>
      </c>
      <c r="G9" s="9" t="s">
        <v>4</v>
      </c>
      <c r="H9" s="9" t="s">
        <v>5</v>
      </c>
      <c r="I9" s="10" t="s">
        <v>6</v>
      </c>
      <c r="J9" s="7"/>
      <c r="K9" s="7"/>
      <c r="L9" s="7"/>
      <c r="M9" s="8"/>
      <c r="U9" s="161"/>
    </row>
    <row r="10" spans="2:28" ht="15" customHeight="1" thickBot="1" thickTop="1">
      <c r="B10" s="7"/>
      <c r="C10" s="317" t="str">
        <f>'[1]Equipes-Pool'!$B$10</f>
        <v>Stars de Dallas</v>
      </c>
      <c r="D10" s="318"/>
      <c r="E10" s="195">
        <v>5</v>
      </c>
      <c r="F10" s="195">
        <v>3</v>
      </c>
      <c r="G10" s="195">
        <v>16</v>
      </c>
      <c r="H10" s="195">
        <v>23</v>
      </c>
      <c r="I10" s="194">
        <f>F10+(G10-H10)</f>
        <v>-4</v>
      </c>
      <c r="J10" s="7"/>
      <c r="K10" s="7"/>
      <c r="L10" s="7"/>
      <c r="M10" s="8"/>
      <c r="N10" s="265" t="s">
        <v>65</v>
      </c>
      <c r="O10" s="266"/>
      <c r="P10" s="266"/>
      <c r="Q10" s="266"/>
      <c r="R10" s="267"/>
      <c r="U10" s="161"/>
      <c r="W10" s="293" t="s">
        <v>195</v>
      </c>
      <c r="X10" s="294"/>
      <c r="Y10" s="294"/>
      <c r="Z10" s="294"/>
      <c r="AA10" s="294"/>
      <c r="AB10" s="295"/>
    </row>
    <row r="11" spans="2:28" ht="15" customHeight="1" thickBot="1">
      <c r="B11" s="7"/>
      <c r="C11" s="311" t="str">
        <f>'[1]Equipes-Pool'!$B$17</f>
        <v>Capitals de Washington</v>
      </c>
      <c r="D11" s="312"/>
      <c r="E11" s="40">
        <f>('[1]Equipes-Pool'!$C$17)-4</f>
        <v>65</v>
      </c>
      <c r="F11" s="40">
        <f>('[1]Equipes-Pool'!$D$17)-6</f>
        <v>84</v>
      </c>
      <c r="G11" s="40">
        <f>('[1]Equipes-Pool'!$E$17)-17</f>
        <v>206</v>
      </c>
      <c r="H11" s="40">
        <f>('[1]Equipes-Pool'!$F$17)-13</f>
        <v>188</v>
      </c>
      <c r="I11" s="33">
        <f>F11+(G11-H11)</f>
        <v>102</v>
      </c>
      <c r="J11" s="7"/>
      <c r="K11" s="7"/>
      <c r="L11" s="7"/>
      <c r="M11" s="8"/>
      <c r="N11" s="16" t="s">
        <v>8</v>
      </c>
      <c r="O11" s="17" t="s">
        <v>9</v>
      </c>
      <c r="P11" s="71" t="s">
        <v>10</v>
      </c>
      <c r="Q11" s="18" t="s">
        <v>11</v>
      </c>
      <c r="R11" s="19" t="s">
        <v>68</v>
      </c>
      <c r="U11" s="161"/>
      <c r="W11" s="152" t="s">
        <v>8</v>
      </c>
      <c r="X11" s="296" t="s">
        <v>83</v>
      </c>
      <c r="Y11" s="297"/>
      <c r="Z11" s="296" t="s">
        <v>196</v>
      </c>
      <c r="AA11" s="297"/>
      <c r="AB11" s="158" t="s">
        <v>159</v>
      </c>
    </row>
    <row r="12" spans="2:28" ht="14.25" thickTop="1">
      <c r="B12" s="7"/>
      <c r="C12" s="274" t="s">
        <v>7</v>
      </c>
      <c r="D12" s="275"/>
      <c r="E12" s="14">
        <f>SUM(E10:E11)</f>
        <v>70</v>
      </c>
      <c r="F12" s="14">
        <f>SUM(F10:F11)</f>
        <v>87</v>
      </c>
      <c r="G12" s="14">
        <f>SUM(G10:G11)</f>
        <v>222</v>
      </c>
      <c r="H12" s="14">
        <f>SUM(H10:H11)</f>
        <v>211</v>
      </c>
      <c r="I12" s="15">
        <f>F12+(G12-H12)</f>
        <v>98</v>
      </c>
      <c r="J12" s="7"/>
      <c r="K12" s="7"/>
      <c r="L12" s="7"/>
      <c r="M12" s="8"/>
      <c r="N12" s="20" t="s">
        <v>12</v>
      </c>
      <c r="O12" s="21">
        <f>E12</f>
        <v>70</v>
      </c>
      <c r="P12" s="72">
        <f>I12</f>
        <v>98</v>
      </c>
      <c r="Q12" s="23">
        <f aca="true" t="shared" si="0" ref="Q12:Q18">P12/O12</f>
        <v>1.4</v>
      </c>
      <c r="R12" s="22">
        <f>'[2]Individuel'!$D$19</f>
        <v>107.5</v>
      </c>
      <c r="U12" s="161"/>
      <c r="W12" s="155"/>
      <c r="X12" s="154" t="s">
        <v>143</v>
      </c>
      <c r="Y12" s="154" t="s">
        <v>157</v>
      </c>
      <c r="Z12" s="154" t="s">
        <v>143</v>
      </c>
      <c r="AA12" s="154" t="s">
        <v>157</v>
      </c>
      <c r="AB12" s="156"/>
    </row>
    <row r="13" spans="2:28" ht="1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25"/>
      <c r="N13" s="26" t="s">
        <v>14</v>
      </c>
      <c r="O13" s="27">
        <f>E21</f>
        <v>94</v>
      </c>
      <c r="P13" s="73">
        <f>K21</f>
        <v>163</v>
      </c>
      <c r="Q13" s="29">
        <f t="shared" si="0"/>
        <v>1.7340425531914894</v>
      </c>
      <c r="R13" s="28">
        <f>'[2]Individuel'!$I$19</f>
        <v>146.5</v>
      </c>
      <c r="U13" s="161"/>
      <c r="W13" s="153" t="s">
        <v>156</v>
      </c>
      <c r="X13" s="14" t="s">
        <v>152</v>
      </c>
      <c r="Y13" s="14">
        <v>1237</v>
      </c>
      <c r="Z13" s="14"/>
      <c r="AA13" s="14"/>
      <c r="AB13" s="139">
        <f>Y13+AA13</f>
        <v>1237</v>
      </c>
    </row>
    <row r="14" spans="2:28" ht="15" customHeight="1" thickBot="1">
      <c r="B14" s="254" t="s">
        <v>13</v>
      </c>
      <c r="C14" s="254"/>
      <c r="D14" s="254"/>
      <c r="E14" s="254"/>
      <c r="F14" s="254"/>
      <c r="G14" s="254"/>
      <c r="H14" s="254"/>
      <c r="I14" s="254"/>
      <c r="J14" s="254"/>
      <c r="K14" s="254"/>
      <c r="L14" s="24"/>
      <c r="M14" s="8"/>
      <c r="N14" s="26" t="s">
        <v>23</v>
      </c>
      <c r="O14" s="27">
        <f>E36</f>
        <v>531</v>
      </c>
      <c r="P14" s="73">
        <f>H36</f>
        <v>398</v>
      </c>
      <c r="Q14" s="29">
        <f t="shared" si="0"/>
        <v>0.7495291902071564</v>
      </c>
      <c r="R14" s="28">
        <f>'[2]Individuel'!$N$19</f>
        <v>391.4</v>
      </c>
      <c r="U14" s="161"/>
      <c r="W14" s="49" t="s">
        <v>105</v>
      </c>
      <c r="X14" s="324" t="s">
        <v>118</v>
      </c>
      <c r="Y14" s="325"/>
      <c r="Z14" s="14"/>
      <c r="AA14" s="14"/>
      <c r="AB14" s="139">
        <f aca="true" t="shared" si="1" ref="AB14:AB28">Y14+AA14</f>
        <v>0</v>
      </c>
    </row>
    <row r="15" spans="2:28" ht="15" customHeight="1" thickBot="1">
      <c r="B15" s="30" t="s">
        <v>15</v>
      </c>
      <c r="C15" s="30" t="s">
        <v>16</v>
      </c>
      <c r="D15" s="30" t="s">
        <v>17</v>
      </c>
      <c r="E15" s="31" t="s">
        <v>2</v>
      </c>
      <c r="F15" s="31" t="s">
        <v>18</v>
      </c>
      <c r="G15" s="31" t="s">
        <v>19</v>
      </c>
      <c r="H15" s="31" t="s">
        <v>20</v>
      </c>
      <c r="I15" s="31" t="s">
        <v>21</v>
      </c>
      <c r="J15" s="31" t="s">
        <v>22</v>
      </c>
      <c r="K15" s="32" t="s">
        <v>6</v>
      </c>
      <c r="L15" s="7"/>
      <c r="M15" s="8"/>
      <c r="N15" s="26" t="s">
        <v>24</v>
      </c>
      <c r="O15" s="27">
        <f>E45</f>
        <v>268</v>
      </c>
      <c r="P15" s="73">
        <f>H45</f>
        <v>251</v>
      </c>
      <c r="Q15" s="29">
        <f t="shared" si="0"/>
        <v>0.9365671641791045</v>
      </c>
      <c r="R15" s="28">
        <f>'[2]Individuel'!$D$33</f>
        <v>232.7</v>
      </c>
      <c r="U15" s="161"/>
      <c r="W15" s="49" t="s">
        <v>166</v>
      </c>
      <c r="X15" s="43" t="s">
        <v>153</v>
      </c>
      <c r="Y15" s="43">
        <v>74</v>
      </c>
      <c r="Z15" s="43"/>
      <c r="AA15" s="43"/>
      <c r="AB15" s="139">
        <f t="shared" si="1"/>
        <v>74</v>
      </c>
    </row>
    <row r="16" spans="2:28" ht="15" customHeight="1" thickTop="1">
      <c r="B16" s="108">
        <f>'[1]Pool-gardien'!$B$22</f>
        <v>36.31780821917808</v>
      </c>
      <c r="C16" s="108" t="str">
        <f>'[1]Pool-gardien'!$C$22</f>
        <v>Det</v>
      </c>
      <c r="D16" s="110" t="str">
        <f>'[1]Pool-gardien'!$D$22</f>
        <v>Chris Osgood</v>
      </c>
      <c r="E16" s="108">
        <f>('[1]Pool-gardien'!$E$22)-15</f>
        <v>20</v>
      </c>
      <c r="F16" s="108">
        <f>('[1]Pool-gardien'!$F$22)-8</f>
        <v>12</v>
      </c>
      <c r="G16" s="108">
        <f>('[1]Pool-gardien'!$G$22)-3</f>
        <v>4</v>
      </c>
      <c r="H16" s="108">
        <f>('[1]Pool-gardien'!$H$22)-1</f>
        <v>0</v>
      </c>
      <c r="I16" s="108">
        <f>('[1]Pool-gardien'!$I$22)-0</f>
        <v>0</v>
      </c>
      <c r="J16" s="108">
        <f>('[1]Pool-gardien'!$J$22)-1</f>
        <v>1</v>
      </c>
      <c r="K16" s="33">
        <f aca="true" t="shared" si="2" ref="K16:K21">(F16*2)+G16+(H16*4)+(I16*10)+J16</f>
        <v>29</v>
      </c>
      <c r="L16" s="7"/>
      <c r="M16" s="8"/>
      <c r="N16" s="26" t="s">
        <v>25</v>
      </c>
      <c r="O16" s="27">
        <f>E57</f>
        <v>359</v>
      </c>
      <c r="P16" s="73">
        <f>H57</f>
        <v>200</v>
      </c>
      <c r="Q16" s="29">
        <f t="shared" si="0"/>
        <v>0.5571030640668524</v>
      </c>
      <c r="R16" s="28">
        <f>'[2]Individuel'!$I$33</f>
        <v>193.3</v>
      </c>
      <c r="U16" s="161"/>
      <c r="W16" s="49" t="s">
        <v>14</v>
      </c>
      <c r="X16" s="43" t="s">
        <v>149</v>
      </c>
      <c r="Y16" s="43">
        <v>180</v>
      </c>
      <c r="Z16" s="43"/>
      <c r="AA16" s="43"/>
      <c r="AB16" s="139">
        <f t="shared" si="1"/>
        <v>180</v>
      </c>
    </row>
    <row r="17" spans="2:28" ht="15" customHeight="1" thickBot="1">
      <c r="B17" s="180">
        <f>'[1]Pool-gardien'!$B$37</f>
        <v>32.97534246575343</v>
      </c>
      <c r="C17" s="180" t="str">
        <f>'[1]Pool-gardien'!$C$37</f>
        <v>Det</v>
      </c>
      <c r="D17" s="181" t="str">
        <f>'[1]Pool-gardien'!$D$37</f>
        <v>Ty Conklin</v>
      </c>
      <c r="E17" s="180">
        <v>18</v>
      </c>
      <c r="F17" s="180">
        <v>12</v>
      </c>
      <c r="G17" s="180">
        <v>1</v>
      </c>
      <c r="H17" s="180">
        <v>4</v>
      </c>
      <c r="I17" s="180">
        <v>0</v>
      </c>
      <c r="J17" s="180">
        <v>0</v>
      </c>
      <c r="K17" s="203">
        <f t="shared" si="2"/>
        <v>41</v>
      </c>
      <c r="L17" s="7"/>
      <c r="M17" s="8"/>
      <c r="N17" s="38" t="s">
        <v>27</v>
      </c>
      <c r="O17" s="117">
        <f>E73</f>
        <v>128</v>
      </c>
      <c r="P17" s="74">
        <f>H73</f>
        <v>67</v>
      </c>
      <c r="Q17" s="41">
        <f t="shared" si="0"/>
        <v>0.5234375</v>
      </c>
      <c r="R17" s="40">
        <f>'[2]Individuel'!$N$33</f>
        <v>63.8</v>
      </c>
      <c r="U17" s="161"/>
      <c r="W17" s="49" t="s">
        <v>84</v>
      </c>
      <c r="X17" s="43" t="s">
        <v>150</v>
      </c>
      <c r="Y17" s="43">
        <v>444</v>
      </c>
      <c r="Z17" s="43"/>
      <c r="AA17" s="43"/>
      <c r="AB17" s="139">
        <f t="shared" si="1"/>
        <v>444</v>
      </c>
    </row>
    <row r="18" spans="2:28" ht="15" customHeight="1">
      <c r="B18" s="180">
        <f>'[1]Pool-gardien'!$B$128</f>
        <v>31.660273972602738</v>
      </c>
      <c r="C18" s="180" t="str">
        <f>'[1]Pool-gardien'!$C$128</f>
        <v>N.J.</v>
      </c>
      <c r="D18" s="181" t="str">
        <f>'[1]Pool-gardien'!$D$128</f>
        <v>Scott Clemmensen</v>
      </c>
      <c r="E18" s="180">
        <v>30</v>
      </c>
      <c r="F18" s="180">
        <v>19</v>
      </c>
      <c r="G18" s="180">
        <v>1</v>
      </c>
      <c r="H18" s="180">
        <v>2</v>
      </c>
      <c r="I18" s="180">
        <v>0</v>
      </c>
      <c r="J18" s="180">
        <v>0</v>
      </c>
      <c r="K18" s="203">
        <f t="shared" si="2"/>
        <v>47</v>
      </c>
      <c r="L18" s="7"/>
      <c r="M18" s="8"/>
      <c r="N18" s="42" t="s">
        <v>28</v>
      </c>
      <c r="O18" s="22">
        <f>SUM(O12:O17)</f>
        <v>1450</v>
      </c>
      <c r="P18" s="75">
        <f>SUM(P12:P17)</f>
        <v>1177</v>
      </c>
      <c r="Q18" s="23">
        <f t="shared" si="0"/>
        <v>0.8117241379310345</v>
      </c>
      <c r="R18" s="22">
        <f>'[2]Classement'!$C$20</f>
        <v>1135.2</v>
      </c>
      <c r="U18" s="161"/>
      <c r="W18" s="49" t="s">
        <v>24</v>
      </c>
      <c r="X18" s="43" t="s">
        <v>146</v>
      </c>
      <c r="Y18" s="43">
        <v>296</v>
      </c>
      <c r="Z18" s="43"/>
      <c r="AA18" s="43"/>
      <c r="AB18" s="139">
        <f t="shared" si="1"/>
        <v>296</v>
      </c>
    </row>
    <row r="19" spans="2:28" ht="15" customHeight="1" thickBot="1">
      <c r="B19" s="107">
        <f>'[1]Pool-gardien'!$B$7</f>
        <v>36.87671232876713</v>
      </c>
      <c r="C19" s="107" t="str">
        <f>'[1]Pool-gardien'!$C$7</f>
        <v>N.J.</v>
      </c>
      <c r="D19" s="124" t="str">
        <f>'[1]Pool-gardien'!$D$7</f>
        <v>Martin Brodeur</v>
      </c>
      <c r="E19" s="107">
        <f>('[1]Pool-gardien'!$E$7)</f>
        <v>17</v>
      </c>
      <c r="F19" s="107">
        <f>('[1]Pool-gardien'!$F$7)</f>
        <v>12</v>
      </c>
      <c r="G19" s="107">
        <f>('[1]Pool-gardien'!$G$7)</f>
        <v>2</v>
      </c>
      <c r="H19" s="107">
        <f>('[1]Pool-gardien'!$H$7)</f>
        <v>4</v>
      </c>
      <c r="I19" s="107">
        <f>('[1]Pool-gardien'!$I$7)</f>
        <v>0</v>
      </c>
      <c r="J19" s="107">
        <f>('[1]Pool-gardien'!$J$7)</f>
        <v>0</v>
      </c>
      <c r="K19" s="33">
        <f t="shared" si="2"/>
        <v>42</v>
      </c>
      <c r="L19" s="7"/>
      <c r="M19" s="8"/>
      <c r="U19" s="161"/>
      <c r="W19" s="49" t="s">
        <v>25</v>
      </c>
      <c r="X19" s="43" t="s">
        <v>150</v>
      </c>
      <c r="Y19" s="43">
        <v>213</v>
      </c>
      <c r="Z19" s="43"/>
      <c r="AA19" s="43"/>
      <c r="AB19" s="139">
        <f t="shared" si="1"/>
        <v>213</v>
      </c>
    </row>
    <row r="20" spans="2:28" ht="15" customHeight="1" thickBot="1">
      <c r="B20" s="180">
        <f>'[1]Pool-gardien'!$B$16</f>
        <v>32.71780821917808</v>
      </c>
      <c r="C20" s="180" t="str">
        <f>'[1]Pool-gardien'!$C$16</f>
        <v>Fla</v>
      </c>
      <c r="D20" s="181" t="str">
        <f>'[1]Pool-gardien'!$D$16</f>
        <v>Tomas Vokoun</v>
      </c>
      <c r="E20" s="196">
        <v>9</v>
      </c>
      <c r="F20" s="196">
        <v>2</v>
      </c>
      <c r="G20" s="196">
        <v>0</v>
      </c>
      <c r="H20" s="196">
        <v>0</v>
      </c>
      <c r="I20" s="196">
        <v>0</v>
      </c>
      <c r="J20" s="196">
        <v>0</v>
      </c>
      <c r="K20" s="197">
        <f t="shared" si="2"/>
        <v>4</v>
      </c>
      <c r="L20" s="7"/>
      <c r="M20" s="8"/>
      <c r="N20" s="265" t="s">
        <v>64</v>
      </c>
      <c r="O20" s="266"/>
      <c r="P20" s="266"/>
      <c r="Q20" s="266"/>
      <c r="R20" s="267"/>
      <c r="U20" s="161"/>
      <c r="W20" s="49" t="s">
        <v>85</v>
      </c>
      <c r="X20" s="43" t="s">
        <v>154</v>
      </c>
      <c r="Y20" s="43">
        <v>30</v>
      </c>
      <c r="Z20" s="43"/>
      <c r="AA20" s="43"/>
      <c r="AB20" s="139">
        <f t="shared" si="1"/>
        <v>30</v>
      </c>
    </row>
    <row r="21" spans="2:28" ht="15" customHeight="1" thickBot="1">
      <c r="B21" s="274" t="s">
        <v>26</v>
      </c>
      <c r="C21" s="275"/>
      <c r="D21" s="255"/>
      <c r="E21" s="14">
        <f aca="true" t="shared" si="3" ref="E21:J21">SUM(E16:E20)</f>
        <v>94</v>
      </c>
      <c r="F21" s="14">
        <f t="shared" si="3"/>
        <v>57</v>
      </c>
      <c r="G21" s="14">
        <f t="shared" si="3"/>
        <v>8</v>
      </c>
      <c r="H21" s="14">
        <f t="shared" si="3"/>
        <v>10</v>
      </c>
      <c r="I21" s="14">
        <f t="shared" si="3"/>
        <v>0</v>
      </c>
      <c r="J21" s="14">
        <f t="shared" si="3"/>
        <v>1</v>
      </c>
      <c r="K21" s="33">
        <f t="shared" si="2"/>
        <v>163</v>
      </c>
      <c r="L21" s="7"/>
      <c r="M21" s="8"/>
      <c r="N21" s="16" t="s">
        <v>8</v>
      </c>
      <c r="O21" s="17" t="s">
        <v>9</v>
      </c>
      <c r="P21" s="71" t="s">
        <v>10</v>
      </c>
      <c r="Q21" s="18" t="s">
        <v>11</v>
      </c>
      <c r="R21" s="19" t="s">
        <v>68</v>
      </c>
      <c r="U21" s="161"/>
      <c r="W21" s="49" t="s">
        <v>21</v>
      </c>
      <c r="X21" s="43" t="s">
        <v>149</v>
      </c>
      <c r="Y21" s="43">
        <v>360</v>
      </c>
      <c r="Z21" s="43"/>
      <c r="AA21" s="43"/>
      <c r="AB21" s="139">
        <f t="shared" si="1"/>
        <v>360</v>
      </c>
    </row>
    <row r="22" spans="2:28" ht="15" customHeight="1" thickTop="1">
      <c r="B22" s="5"/>
      <c r="C22" s="5"/>
      <c r="D22" s="5"/>
      <c r="E22" s="7"/>
      <c r="F22" s="7"/>
      <c r="G22" s="7"/>
      <c r="H22" s="7"/>
      <c r="I22" s="7"/>
      <c r="J22" s="7"/>
      <c r="K22" s="7"/>
      <c r="L22" s="7"/>
      <c r="M22" s="8"/>
      <c r="N22" s="20" t="s">
        <v>31</v>
      </c>
      <c r="O22" s="27">
        <f>E80</f>
        <v>67</v>
      </c>
      <c r="P22" s="73">
        <f>I80</f>
        <v>73</v>
      </c>
      <c r="Q22" s="29">
        <f>P22/O22</f>
        <v>1.0895522388059702</v>
      </c>
      <c r="R22" s="63"/>
      <c r="U22" s="161"/>
      <c r="W22" s="49" t="s">
        <v>30</v>
      </c>
      <c r="X22" s="43" t="s">
        <v>151</v>
      </c>
      <c r="Y22" s="43">
        <v>597</v>
      </c>
      <c r="Z22" s="43"/>
      <c r="AA22" s="43"/>
      <c r="AB22" s="139">
        <f t="shared" si="1"/>
        <v>597</v>
      </c>
    </row>
    <row r="23" spans="2:28" ht="15" customHeight="1" thickBot="1">
      <c r="B23" s="256" t="s">
        <v>23</v>
      </c>
      <c r="C23" s="257"/>
      <c r="D23" s="257"/>
      <c r="E23" s="257"/>
      <c r="F23" s="257"/>
      <c r="G23" s="257"/>
      <c r="H23" s="257"/>
      <c r="I23" s="258"/>
      <c r="J23" s="7"/>
      <c r="K23" s="7"/>
      <c r="L23" s="7"/>
      <c r="M23" s="8"/>
      <c r="N23" s="26" t="s">
        <v>32</v>
      </c>
      <c r="O23" s="27">
        <f>E92</f>
        <v>120</v>
      </c>
      <c r="P23" s="73">
        <f>K92</f>
        <v>166</v>
      </c>
      <c r="Q23" s="29">
        <f aca="true" t="shared" si="4" ref="Q23:Q28">P23/O23</f>
        <v>1.3833333333333333</v>
      </c>
      <c r="R23" s="63"/>
      <c r="U23" s="161"/>
      <c r="W23" s="49" t="s">
        <v>86</v>
      </c>
      <c r="X23" s="43" t="s">
        <v>151</v>
      </c>
      <c r="Y23" s="43">
        <v>957</v>
      </c>
      <c r="Z23" s="43"/>
      <c r="AA23" s="43"/>
      <c r="AB23" s="139">
        <f t="shared" si="1"/>
        <v>957</v>
      </c>
    </row>
    <row r="24" spans="2:28" ht="15" customHeight="1" thickBot="1">
      <c r="B24" s="30" t="s">
        <v>15</v>
      </c>
      <c r="C24" s="30" t="s">
        <v>29</v>
      </c>
      <c r="D24" s="30" t="s">
        <v>17</v>
      </c>
      <c r="E24" s="31" t="s">
        <v>2</v>
      </c>
      <c r="F24" s="31" t="s">
        <v>21</v>
      </c>
      <c r="G24" s="31" t="s">
        <v>30</v>
      </c>
      <c r="H24" s="32" t="s">
        <v>6</v>
      </c>
      <c r="I24" s="31" t="s">
        <v>11</v>
      </c>
      <c r="J24" s="7"/>
      <c r="K24" s="7"/>
      <c r="L24" s="7"/>
      <c r="M24" s="8"/>
      <c r="N24" s="26" t="s">
        <v>33</v>
      </c>
      <c r="O24" s="27">
        <f>E105</f>
        <v>146</v>
      </c>
      <c r="P24" s="73">
        <f>H105</f>
        <v>89</v>
      </c>
      <c r="Q24" s="29">
        <f t="shared" si="4"/>
        <v>0.6095890410958904</v>
      </c>
      <c r="R24" s="63"/>
      <c r="U24" s="161"/>
      <c r="W24" s="49" t="s">
        <v>87</v>
      </c>
      <c r="X24" s="73" t="s">
        <v>95</v>
      </c>
      <c r="Y24" s="43">
        <v>656</v>
      </c>
      <c r="Z24" s="43"/>
      <c r="AA24" s="43"/>
      <c r="AB24" s="139">
        <f t="shared" si="1"/>
        <v>656</v>
      </c>
    </row>
    <row r="25" spans="2:28" ht="15" customHeight="1" thickTop="1">
      <c r="B25" s="107">
        <f>'[1]POOL-joueus'!$B$56</f>
        <v>25.164383561643834</v>
      </c>
      <c r="C25" s="107" t="str">
        <f>'[1]POOL-joueus'!$C$56</f>
        <v>Buf</v>
      </c>
      <c r="D25" s="124" t="str">
        <f>'[1]POOL-joueus'!$D$56</f>
        <v>Thomas Vanek</v>
      </c>
      <c r="E25" s="107">
        <f>('[1]POOL-joueus'!$E$56)</f>
        <v>57</v>
      </c>
      <c r="F25" s="107">
        <f>('[1]POOL-joueus'!$F$56)</f>
        <v>34</v>
      </c>
      <c r="G25" s="107">
        <f>('[1]POOL-joueus'!$G$56)</f>
        <v>20</v>
      </c>
      <c r="H25" s="44">
        <f aca="true" t="shared" si="5" ref="H25:H36">SUM(F25:G25)</f>
        <v>54</v>
      </c>
      <c r="I25" s="45">
        <f aca="true" t="shared" si="6" ref="I25:I36">H25/E25</f>
        <v>0.9473684210526315</v>
      </c>
      <c r="J25" s="7"/>
      <c r="K25" s="7"/>
      <c r="L25" s="7"/>
      <c r="M25" s="8"/>
      <c r="N25" s="26" t="s">
        <v>34</v>
      </c>
      <c r="O25" s="27">
        <f>E116</f>
        <v>77</v>
      </c>
      <c r="P25" s="73">
        <f>H116</f>
        <v>38</v>
      </c>
      <c r="Q25" s="29">
        <f t="shared" si="4"/>
        <v>0.4935064935064935</v>
      </c>
      <c r="R25" s="63"/>
      <c r="U25" s="161"/>
      <c r="W25" s="49" t="s">
        <v>112</v>
      </c>
      <c r="X25" s="43" t="s">
        <v>148</v>
      </c>
      <c r="Y25" s="43">
        <v>70</v>
      </c>
      <c r="Z25" s="43"/>
      <c r="AA25" s="43"/>
      <c r="AB25" s="139">
        <f t="shared" si="1"/>
        <v>70</v>
      </c>
    </row>
    <row r="26" spans="2:28" ht="15" customHeight="1">
      <c r="B26" s="107">
        <f>'[1]POOL-joueus'!$B$65</f>
        <v>24.367123287671234</v>
      </c>
      <c r="C26" s="107" t="str">
        <f>'[1]POOL-joueus'!$C$65</f>
        <v>Nyr</v>
      </c>
      <c r="D26" s="124" t="str">
        <f>'[1]POOL-joueus'!$D$65</f>
        <v>Nikolai Zherdev</v>
      </c>
      <c r="E26" s="107">
        <f>'[1]POOL-joueus'!$E$65</f>
        <v>68</v>
      </c>
      <c r="F26" s="107">
        <f>'[1]POOL-joueus'!$F$65</f>
        <v>19</v>
      </c>
      <c r="G26" s="107">
        <f>'[1]POOL-joueus'!$G$65</f>
        <v>32</v>
      </c>
      <c r="H26" s="44">
        <f t="shared" si="5"/>
        <v>51</v>
      </c>
      <c r="I26" s="45">
        <f t="shared" si="6"/>
        <v>0.75</v>
      </c>
      <c r="J26" s="7"/>
      <c r="K26" s="7"/>
      <c r="L26" s="7"/>
      <c r="M26" s="8"/>
      <c r="N26" s="26" t="s">
        <v>35</v>
      </c>
      <c r="O26" s="27">
        <f>E125</f>
        <v>46</v>
      </c>
      <c r="P26" s="73">
        <f>H125</f>
        <v>11</v>
      </c>
      <c r="Q26" s="29">
        <f t="shared" si="4"/>
        <v>0.2391304347826087</v>
      </c>
      <c r="R26" s="63"/>
      <c r="U26" s="161"/>
      <c r="W26" s="49" t="s">
        <v>88</v>
      </c>
      <c r="X26" s="43" t="s">
        <v>153</v>
      </c>
      <c r="Y26" s="43">
        <v>5</v>
      </c>
      <c r="Z26" s="43"/>
      <c r="AA26" s="43"/>
      <c r="AB26" s="139">
        <f t="shared" si="1"/>
        <v>5</v>
      </c>
    </row>
    <row r="27" spans="2:28" ht="15" customHeight="1" thickBot="1">
      <c r="B27" s="107">
        <f>'[1]POOL-joueus'!$B$97</f>
        <v>30.16986301369863</v>
      </c>
      <c r="C27" s="107" t="str">
        <f>'[1]POOL-joueus'!$C$97</f>
        <v>N.J.</v>
      </c>
      <c r="D27" s="124" t="str">
        <f>'[1]POOL-joueus'!$D$97</f>
        <v>Brian Gionta</v>
      </c>
      <c r="E27" s="107">
        <f>'[1]POOL-joueus'!$E$97</f>
        <v>66</v>
      </c>
      <c r="F27" s="107">
        <f>'[1]POOL-joueus'!$F$97</f>
        <v>15</v>
      </c>
      <c r="G27" s="107">
        <f>'[1]POOL-joueus'!$G$97</f>
        <v>37</v>
      </c>
      <c r="H27" s="44">
        <f t="shared" si="5"/>
        <v>52</v>
      </c>
      <c r="I27" s="45">
        <f t="shared" si="6"/>
        <v>0.7878787878787878</v>
      </c>
      <c r="J27" s="7"/>
      <c r="K27" s="7"/>
      <c r="L27" s="7"/>
      <c r="M27" s="8"/>
      <c r="N27" s="38" t="s">
        <v>36</v>
      </c>
      <c r="O27" s="117">
        <f>E141</f>
        <v>76</v>
      </c>
      <c r="P27" s="74">
        <f>H141</f>
        <v>42</v>
      </c>
      <c r="Q27" s="41">
        <f t="shared" si="4"/>
        <v>0.5526315789473685</v>
      </c>
      <c r="R27" s="64"/>
      <c r="U27" s="161"/>
      <c r="W27" s="49" t="s">
        <v>160</v>
      </c>
      <c r="X27" s="43" t="s">
        <v>154</v>
      </c>
      <c r="Y27" s="43">
        <v>11</v>
      </c>
      <c r="Z27" s="43"/>
      <c r="AA27" s="43"/>
      <c r="AB27" s="139">
        <f t="shared" si="1"/>
        <v>11</v>
      </c>
    </row>
    <row r="28" spans="2:28" ht="15" customHeight="1">
      <c r="B28" s="109">
        <f>'[1]POOL-joueus'!$B$91</f>
        <v>33.0986301369863</v>
      </c>
      <c r="C28" s="109" t="str">
        <f>'[1]POOL-joueus'!$C$91</f>
        <v>Col</v>
      </c>
      <c r="D28" s="111" t="str">
        <f>'[1]POOL-joueus'!$D$91</f>
        <v>Milan Hejduk</v>
      </c>
      <c r="E28" s="109">
        <f>'[1]POOL-joueus'!$E$91</f>
        <v>68</v>
      </c>
      <c r="F28" s="109">
        <f>'[1]POOL-joueus'!$F$91</f>
        <v>25</v>
      </c>
      <c r="G28" s="109">
        <f>'[1]POOL-joueus'!$G$91</f>
        <v>28</v>
      </c>
      <c r="H28" s="44">
        <f t="shared" si="5"/>
        <v>53</v>
      </c>
      <c r="I28" s="45">
        <f t="shared" si="6"/>
        <v>0.7794117647058824</v>
      </c>
      <c r="J28" s="7"/>
      <c r="K28" s="7"/>
      <c r="L28" s="7"/>
      <c r="M28" s="8"/>
      <c r="N28" s="42" t="s">
        <v>37</v>
      </c>
      <c r="O28" s="22">
        <f>SUM(O22:O27)</f>
        <v>532</v>
      </c>
      <c r="P28" s="72">
        <f>SUM(P22:P27)</f>
        <v>419</v>
      </c>
      <c r="Q28" s="23">
        <f t="shared" si="4"/>
        <v>0.7875939849624061</v>
      </c>
      <c r="R28" s="22">
        <f>'[2]Individuel'!$I$61</f>
        <v>420.7</v>
      </c>
      <c r="U28" s="161"/>
      <c r="W28" s="49" t="s">
        <v>161</v>
      </c>
      <c r="X28" s="43" t="s">
        <v>152</v>
      </c>
      <c r="Y28" s="43">
        <v>36</v>
      </c>
      <c r="Z28" s="43"/>
      <c r="AA28" s="43"/>
      <c r="AB28" s="139">
        <f t="shared" si="1"/>
        <v>36</v>
      </c>
    </row>
    <row r="29" spans="2:28" ht="15" customHeight="1" thickBot="1">
      <c r="B29" s="107">
        <f>'[1]POOL-joueus'!$B$171</f>
        <v>33.07945205479452</v>
      </c>
      <c r="C29" s="107" t="str">
        <f>'[1]POOL-joueus'!$C$171</f>
        <v>Col</v>
      </c>
      <c r="D29" s="124" t="str">
        <f>'[1]POOL-joueus'!$D$171</f>
        <v>Ryan Smyth</v>
      </c>
      <c r="E29" s="107">
        <f>'[1]POOL-joueus'!$E$171</f>
        <v>68</v>
      </c>
      <c r="F29" s="107">
        <f>'[1]POOL-joueus'!$F$171</f>
        <v>24</v>
      </c>
      <c r="G29" s="107">
        <f>'[1]POOL-joueus'!$G$171</f>
        <v>32</v>
      </c>
      <c r="H29" s="44">
        <f t="shared" si="5"/>
        <v>56</v>
      </c>
      <c r="I29" s="45">
        <f t="shared" si="6"/>
        <v>0.8235294117647058</v>
      </c>
      <c r="J29" s="7"/>
      <c r="K29" s="7"/>
      <c r="L29" s="7"/>
      <c r="M29" s="8"/>
      <c r="U29" s="161"/>
      <c r="W29" s="49" t="s">
        <v>165</v>
      </c>
      <c r="X29" s="43" t="s">
        <v>148</v>
      </c>
      <c r="Y29" s="43">
        <v>27.4</v>
      </c>
      <c r="Z29" s="43"/>
      <c r="AA29" s="43"/>
      <c r="AB29" s="160"/>
    </row>
    <row r="30" spans="2:28" ht="15" customHeight="1">
      <c r="B30" s="107">
        <f>'[1]POOL-joueus'!$B$39</f>
        <v>34.09041095890411</v>
      </c>
      <c r="C30" s="107" t="str">
        <f>'[1]POOL-joueus'!$C$39</f>
        <v>T.B.</v>
      </c>
      <c r="D30" s="124" t="str">
        <f>'[1]POOL-joueus'!$D$39</f>
        <v>Vaclav Prospal</v>
      </c>
      <c r="E30" s="107">
        <f>('[1]POOL-joueus'!$E$39)-19</f>
        <v>49</v>
      </c>
      <c r="F30" s="107">
        <f>('[1]POOL-joueus'!$F$39)-7</f>
        <v>10</v>
      </c>
      <c r="G30" s="107">
        <f>('[1]POOL-joueus'!$G$39)-9</f>
        <v>16</v>
      </c>
      <c r="H30" s="44">
        <f t="shared" si="5"/>
        <v>26</v>
      </c>
      <c r="I30" s="45">
        <f t="shared" si="6"/>
        <v>0.5306122448979592</v>
      </c>
      <c r="J30" s="7"/>
      <c r="K30" s="7"/>
      <c r="L30" s="7"/>
      <c r="M30" s="8"/>
      <c r="N30" s="265" t="s">
        <v>60</v>
      </c>
      <c r="O30" s="266"/>
      <c r="P30" s="266"/>
      <c r="Q30" s="266"/>
      <c r="R30" s="267"/>
      <c r="U30" s="161"/>
      <c r="W30" s="159"/>
      <c r="X30" s="298" t="s">
        <v>81</v>
      </c>
      <c r="Y30" s="299"/>
      <c r="Z30" s="298"/>
      <c r="AA30" s="299"/>
      <c r="AB30" s="160"/>
    </row>
    <row r="31" spans="1:28" ht="15" customHeight="1" thickBot="1">
      <c r="A31" s="233" t="s">
        <v>237</v>
      </c>
      <c r="B31" s="185">
        <f>'[1]POOL-joueus'!$B$395</f>
        <v>22.005479452054793</v>
      </c>
      <c r="C31" s="185" t="str">
        <f>'[1]POOL-joueus'!$C$395</f>
        <v>Ana</v>
      </c>
      <c r="D31" s="186" t="str">
        <f>'[1]POOL-joueus'!$D$395</f>
        <v>Bobby Ryan</v>
      </c>
      <c r="E31" s="185">
        <v>28</v>
      </c>
      <c r="F31" s="185">
        <v>15</v>
      </c>
      <c r="G31" s="185">
        <v>14</v>
      </c>
      <c r="H31" s="187">
        <f t="shared" si="5"/>
        <v>29</v>
      </c>
      <c r="I31" s="188">
        <f t="shared" si="6"/>
        <v>1.0357142857142858</v>
      </c>
      <c r="J31" s="7"/>
      <c r="K31" s="7"/>
      <c r="L31" s="7"/>
      <c r="M31" s="8"/>
      <c r="N31" s="16" t="s">
        <v>8</v>
      </c>
      <c r="O31" s="17" t="s">
        <v>9</v>
      </c>
      <c r="P31" s="17" t="s">
        <v>62</v>
      </c>
      <c r="Q31" s="18" t="s">
        <v>11</v>
      </c>
      <c r="R31" s="19" t="s">
        <v>68</v>
      </c>
      <c r="U31" s="161"/>
      <c r="W31" s="49" t="s">
        <v>167</v>
      </c>
      <c r="X31" s="259">
        <v>0</v>
      </c>
      <c r="Y31" s="260"/>
      <c r="Z31" s="259">
        <v>1</v>
      </c>
      <c r="AA31" s="260"/>
      <c r="AB31" s="140">
        <f>Z31+X31</f>
        <v>1</v>
      </c>
    </row>
    <row r="32" spans="2:28" ht="15" customHeight="1" thickTop="1">
      <c r="B32" s="183">
        <f>'[1]POOL-joueus'!$B$174</f>
        <v>28.67945205479452</v>
      </c>
      <c r="C32" s="183" t="str">
        <f>'[1]POOL-joueus'!$C$174</f>
        <v>S.J.</v>
      </c>
      <c r="D32" s="184" t="str">
        <f>'[1]POOL-joueus'!$D$174</f>
        <v>Jonathan Cheechoo</v>
      </c>
      <c r="E32" s="180">
        <v>47</v>
      </c>
      <c r="F32" s="180">
        <v>9</v>
      </c>
      <c r="G32" s="180">
        <v>10</v>
      </c>
      <c r="H32" s="187">
        <f t="shared" si="5"/>
        <v>19</v>
      </c>
      <c r="I32" s="188">
        <f t="shared" si="6"/>
        <v>0.40425531914893614</v>
      </c>
      <c r="J32" s="7"/>
      <c r="K32" s="7"/>
      <c r="L32" s="7"/>
      <c r="M32" s="8"/>
      <c r="N32" s="20" t="s">
        <v>21</v>
      </c>
      <c r="O32" s="69"/>
      <c r="P32" s="22">
        <f>F36+F45+F57+F71</f>
        <v>341</v>
      </c>
      <c r="Q32" s="23">
        <f>P32/O34</f>
        <v>0.2651632970451011</v>
      </c>
      <c r="R32" s="22">
        <f>'[2]Individuel'!$D$47</f>
        <v>320.7</v>
      </c>
      <c r="U32" s="161"/>
      <c r="W32" s="49" t="s">
        <v>168</v>
      </c>
      <c r="X32" s="259">
        <v>1</v>
      </c>
      <c r="Y32" s="260"/>
      <c r="Z32" s="259"/>
      <c r="AA32" s="260"/>
      <c r="AB32" s="140">
        <f>Z32+X32</f>
        <v>1</v>
      </c>
    </row>
    <row r="33" spans="1:28" ht="15" customHeight="1">
      <c r="A33" s="233"/>
      <c r="B33" s="106">
        <f>'[1]POOL-joueus'!$B$51</f>
        <v>35.25205479452055</v>
      </c>
      <c r="C33" s="106" t="str">
        <f>'[1]POOL-joueus'!$C$51</f>
        <v>Fla</v>
      </c>
      <c r="D33" s="126" t="str">
        <f>'[1]POOL-joueus'!$D$51</f>
        <v>Cory Stillman</v>
      </c>
      <c r="E33" s="106">
        <f>(('[1]POOL-joueus'!$E$51))-5</f>
        <v>43</v>
      </c>
      <c r="F33" s="106">
        <f>(('[1]POOL-joueus'!$F$51))-3</f>
        <v>10</v>
      </c>
      <c r="G33" s="106">
        <f>(('[1]POOL-joueus'!$G$51))-1</f>
        <v>24</v>
      </c>
      <c r="H33" s="44">
        <f t="shared" si="5"/>
        <v>34</v>
      </c>
      <c r="I33" s="45">
        <f t="shared" si="6"/>
        <v>0.7906976744186046</v>
      </c>
      <c r="J33" s="7"/>
      <c r="K33" s="7"/>
      <c r="L33" s="7"/>
      <c r="M33" s="8"/>
      <c r="N33" s="26" t="s">
        <v>30</v>
      </c>
      <c r="O33" s="69"/>
      <c r="P33" s="28">
        <f>G36+G45+G57+G71</f>
        <v>575</v>
      </c>
      <c r="Q33" s="29">
        <f>P33/O34</f>
        <v>0.44712286158631415</v>
      </c>
      <c r="R33" s="28">
        <f>'[2]Individuel'!$I$47</f>
        <v>539.3</v>
      </c>
      <c r="U33" s="161"/>
      <c r="W33" s="49" t="s">
        <v>89</v>
      </c>
      <c r="X33" s="259">
        <v>0</v>
      </c>
      <c r="Y33" s="260"/>
      <c r="Z33" s="259"/>
      <c r="AA33" s="260"/>
      <c r="AB33" s="140">
        <f>Z33+X33</f>
        <v>0</v>
      </c>
    </row>
    <row r="34" spans="2:28" ht="15" customHeight="1">
      <c r="B34" s="185">
        <f>'[1]POOL-joueus'!$B$239</f>
        <v>27.93972602739726</v>
      </c>
      <c r="C34" s="185" t="str">
        <f>'[1]POOL-joueus'!$C$239</f>
        <v>Van</v>
      </c>
      <c r="D34" s="186" t="str">
        <f>'[1]POOL-joueus'!$D$239</f>
        <v>Alexandre Burrows</v>
      </c>
      <c r="E34" s="214">
        <v>9</v>
      </c>
      <c r="F34" s="214">
        <v>2</v>
      </c>
      <c r="G34" s="214">
        <v>1</v>
      </c>
      <c r="H34" s="187">
        <f t="shared" si="5"/>
        <v>3</v>
      </c>
      <c r="I34" s="188">
        <f t="shared" si="6"/>
        <v>0.3333333333333333</v>
      </c>
      <c r="J34" s="7"/>
      <c r="K34" s="7"/>
      <c r="L34" s="7"/>
      <c r="M34" s="8"/>
      <c r="N34" s="26" t="s">
        <v>55</v>
      </c>
      <c r="O34" s="27">
        <f>E36+E45+E57+E71</f>
        <v>1286</v>
      </c>
      <c r="P34" s="28">
        <f>SUM(P32:P33)</f>
        <v>916</v>
      </c>
      <c r="Q34" s="29">
        <f>P34/O34</f>
        <v>0.7122861586314152</v>
      </c>
      <c r="R34" s="28">
        <f>'[2]Individuel'!$N$47</f>
        <v>860</v>
      </c>
      <c r="U34" s="161"/>
      <c r="W34" s="49" t="s">
        <v>194</v>
      </c>
      <c r="X34" s="259">
        <v>0</v>
      </c>
      <c r="Y34" s="260"/>
      <c r="Z34" s="259"/>
      <c r="AA34" s="260"/>
      <c r="AB34" s="140">
        <f>Z34+X34</f>
        <v>0</v>
      </c>
    </row>
    <row r="35" spans="2:28" ht="15" customHeight="1" thickBot="1">
      <c r="B35" s="107">
        <f>'[1]POOL-joueus'!$B$102</f>
        <v>35.55068493150685</v>
      </c>
      <c r="C35" s="107" t="str">
        <f>'[1]POOL-joueus'!$C$102</f>
        <v>Tor</v>
      </c>
      <c r="D35" s="124" t="str">
        <f>'[1]POOL-joueus'!$D$102</f>
        <v>Jason Blake</v>
      </c>
      <c r="E35" s="123">
        <f>('[1]POOL-joueus'!$E$102)-37</f>
        <v>28</v>
      </c>
      <c r="F35" s="123">
        <f>('[1]POOL-joueus'!$F$102)-15</f>
        <v>7</v>
      </c>
      <c r="G35" s="123">
        <f>('[1]POOL-joueus'!$G$102)-17</f>
        <v>14</v>
      </c>
      <c r="H35" s="37">
        <f t="shared" si="5"/>
        <v>21</v>
      </c>
      <c r="I35" s="46">
        <f t="shared" si="6"/>
        <v>0.75</v>
      </c>
      <c r="J35" s="145"/>
      <c r="K35" s="7"/>
      <c r="L35" s="7"/>
      <c r="M35" s="8"/>
      <c r="N35" s="26" t="s">
        <v>56</v>
      </c>
      <c r="O35" s="67"/>
      <c r="P35" s="63"/>
      <c r="Q35" s="68"/>
      <c r="R35" s="29">
        <f>'[2]Individuel'!$D$61</f>
        <v>0.6703402518874818</v>
      </c>
      <c r="U35" s="161"/>
      <c r="W35" s="49" t="s">
        <v>132</v>
      </c>
      <c r="X35" s="268">
        <v>0</v>
      </c>
      <c r="Y35" s="269"/>
      <c r="Z35" s="268"/>
      <c r="AA35" s="269"/>
      <c r="AB35" s="157">
        <f>Z35+X35</f>
        <v>0</v>
      </c>
    </row>
    <row r="36" spans="2:21" ht="15" customHeight="1">
      <c r="B36" s="274" t="s">
        <v>26</v>
      </c>
      <c r="C36" s="275"/>
      <c r="D36" s="255"/>
      <c r="E36" s="14">
        <f>SUM(E25:E35)</f>
        <v>531</v>
      </c>
      <c r="F36" s="14">
        <f>SUM(F25:F35)</f>
        <v>170</v>
      </c>
      <c r="G36" s="14">
        <f>SUM(G25:G35)</f>
        <v>228</v>
      </c>
      <c r="H36" s="33">
        <f t="shared" si="5"/>
        <v>398</v>
      </c>
      <c r="I36" s="50">
        <f t="shared" si="6"/>
        <v>0.7495291902071564</v>
      </c>
      <c r="J36" s="7"/>
      <c r="K36" s="7"/>
      <c r="L36" s="7"/>
      <c r="M36" s="8"/>
      <c r="N36" s="26" t="s">
        <v>57</v>
      </c>
      <c r="O36" s="27">
        <f>E21</f>
        <v>94</v>
      </c>
      <c r="P36" s="28">
        <f>F21</f>
        <v>57</v>
      </c>
      <c r="Q36" s="29">
        <f>P36/O36</f>
        <v>0.6063829787234043</v>
      </c>
      <c r="R36" s="28">
        <f>'[2]Individuel'!$D$75</f>
        <v>59.9</v>
      </c>
      <c r="U36" s="161"/>
    </row>
    <row r="37" spans="2:29" ht="15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8"/>
      <c r="N37" s="34" t="s">
        <v>58</v>
      </c>
      <c r="O37" s="27">
        <f>E21</f>
        <v>94</v>
      </c>
      <c r="P37" s="28">
        <f>H21</f>
        <v>10</v>
      </c>
      <c r="Q37" s="29">
        <f>P37/O37</f>
        <v>0.10638297872340426</v>
      </c>
      <c r="R37" s="28">
        <f>'[2]Individuel'!$I$75</f>
        <v>7.1</v>
      </c>
      <c r="U37" s="161"/>
      <c r="V37" s="161"/>
      <c r="W37" s="161"/>
      <c r="X37" s="161"/>
      <c r="Y37" s="161"/>
      <c r="Z37" s="161"/>
      <c r="AA37" s="161"/>
      <c r="AB37" s="161"/>
      <c r="AC37" s="161"/>
    </row>
    <row r="38" spans="2:21" ht="15" customHeight="1" thickBot="1">
      <c r="B38" s="256" t="s">
        <v>24</v>
      </c>
      <c r="C38" s="257"/>
      <c r="D38" s="257"/>
      <c r="E38" s="257"/>
      <c r="F38" s="257"/>
      <c r="G38" s="257"/>
      <c r="H38" s="257"/>
      <c r="I38" s="258"/>
      <c r="J38" s="7"/>
      <c r="K38" s="7"/>
      <c r="L38" s="7"/>
      <c r="M38" s="8"/>
      <c r="N38" s="26" t="s">
        <v>59</v>
      </c>
      <c r="O38" s="27">
        <f>E21</f>
        <v>94</v>
      </c>
      <c r="P38" s="28">
        <f>G21</f>
        <v>8</v>
      </c>
      <c r="Q38" s="29">
        <f>P38/O38</f>
        <v>0.0851063829787234</v>
      </c>
      <c r="R38" s="28">
        <f>'[2]Individuel'!$N$75</f>
        <v>13.6</v>
      </c>
      <c r="U38" s="161"/>
    </row>
    <row r="39" spans="2:21" ht="15" customHeight="1" thickBot="1">
      <c r="B39" s="30" t="s">
        <v>15</v>
      </c>
      <c r="C39" s="30" t="s">
        <v>29</v>
      </c>
      <c r="D39" s="30" t="s">
        <v>17</v>
      </c>
      <c r="E39" s="31" t="s">
        <v>2</v>
      </c>
      <c r="F39" s="31" t="s">
        <v>21</v>
      </c>
      <c r="G39" s="31" t="s">
        <v>30</v>
      </c>
      <c r="H39" s="32" t="s">
        <v>6</v>
      </c>
      <c r="I39" s="31" t="s">
        <v>11</v>
      </c>
      <c r="J39" s="7"/>
      <c r="K39" s="7"/>
      <c r="L39" s="7"/>
      <c r="M39" s="8"/>
      <c r="N39" s="26" t="s">
        <v>38</v>
      </c>
      <c r="O39" s="70">
        <f>(B16+B19+B25+B26+B27+B28+B29+B30+B31+B35+B40+B41+B42+B44+B49+B50+B51+B52+B53+B56+B67+B69+B84+B85+B86+B87+B96+B97+B101+B109+B110+B120+B121+B122+B129+B130+B134+B135+B136)/39</f>
        <v>27.744292237442917</v>
      </c>
      <c r="P39" s="61"/>
      <c r="Q39" s="62"/>
      <c r="R39" s="63"/>
      <c r="U39" s="161"/>
    </row>
    <row r="40" spans="2:28" ht="15" customHeight="1" thickTop="1">
      <c r="B40" s="107">
        <f>'[1]POOL-joueus'!$B$20</f>
        <v>23.85753424657534</v>
      </c>
      <c r="C40" s="107" t="str">
        <f>'[1]POOL-joueus'!$C$20</f>
        <v>Ana</v>
      </c>
      <c r="D40" s="124" t="str">
        <f>'[1]POOL-joueus'!$D$20</f>
        <v>Ryan Getzlaf</v>
      </c>
      <c r="E40" s="107">
        <f>'[1]POOL-joueus'!$E$20</f>
        <v>67</v>
      </c>
      <c r="F40" s="107">
        <f>'[1]POOL-joueus'!$F$20</f>
        <v>21</v>
      </c>
      <c r="G40" s="107">
        <f>'[1]POOL-joueus'!$G$20</f>
        <v>51</v>
      </c>
      <c r="H40" s="44">
        <f aca="true" t="shared" si="7" ref="H40:H45">SUM(F40:G40)</f>
        <v>72</v>
      </c>
      <c r="I40" s="45">
        <f aca="true" t="shared" si="8" ref="I40:I45">H40/E40</f>
        <v>1.0746268656716418</v>
      </c>
      <c r="J40" s="7"/>
      <c r="K40" s="7"/>
      <c r="L40" s="7"/>
      <c r="M40" s="8"/>
      <c r="N40" s="34" t="s">
        <v>39</v>
      </c>
      <c r="O40" s="70"/>
      <c r="P40" s="61"/>
      <c r="Q40" s="62"/>
      <c r="R40" s="63"/>
      <c r="U40" s="161"/>
      <c r="W40" s="265" t="s">
        <v>162</v>
      </c>
      <c r="X40" s="266"/>
      <c r="Y40" s="266"/>
      <c r="Z40" s="266"/>
      <c r="AA40" s="266"/>
      <c r="AB40" s="267"/>
    </row>
    <row r="41" spans="2:28" ht="15" customHeight="1" thickBot="1">
      <c r="B41" s="185">
        <f>'[1]POOL-joueus'!$B$59</f>
        <v>28.882191780821916</v>
      </c>
      <c r="C41" s="185" t="str">
        <f>'[1]POOL-joueus'!$C$59</f>
        <v>Dal</v>
      </c>
      <c r="D41" s="186" t="str">
        <f>'[1]POOL-joueus'!$D$59</f>
        <v>Brad Richards</v>
      </c>
      <c r="E41" s="185">
        <v>55</v>
      </c>
      <c r="F41" s="185">
        <v>16</v>
      </c>
      <c r="G41" s="185">
        <v>32</v>
      </c>
      <c r="H41" s="187">
        <f t="shared" si="7"/>
        <v>48</v>
      </c>
      <c r="I41" s="188">
        <f t="shared" si="8"/>
        <v>0.8727272727272727</v>
      </c>
      <c r="J41" s="7"/>
      <c r="K41" s="7"/>
      <c r="L41" s="7"/>
      <c r="M41" s="8"/>
      <c r="N41" s="26" t="s">
        <v>40</v>
      </c>
      <c r="O41" s="70">
        <f>(B16+B19+B25+B26+B27+B28+B29+B30+B31+B35+B40+B41+B42+B44+B49+B50+B51+B52+B53+B56+B67+B69)/22</f>
        <v>28.02316313823163</v>
      </c>
      <c r="P41" s="59"/>
      <c r="Q41" s="60"/>
      <c r="R41" s="125" t="e">
        <f>'[2]Individuel'!$N$61</f>
        <v>#REF!</v>
      </c>
      <c r="U41" s="161"/>
      <c r="W41" s="65" t="s">
        <v>8</v>
      </c>
      <c r="X41" s="66" t="s">
        <v>9</v>
      </c>
      <c r="Y41" s="66" t="s">
        <v>10</v>
      </c>
      <c r="Z41" s="65" t="s">
        <v>11</v>
      </c>
      <c r="AA41" s="65" t="s">
        <v>68</v>
      </c>
      <c r="AB41" s="65" t="s">
        <v>41</v>
      </c>
    </row>
    <row r="42" spans="2:28" ht="15" customHeight="1" thickBot="1" thickTop="1">
      <c r="B42" s="107">
        <f>'[1]POOL-joueus'!$B$12</f>
        <v>28.912328767123288</v>
      </c>
      <c r="C42" s="107" t="str">
        <f>'[1]POOL-joueus'!$C$12</f>
        <v>T.B.</v>
      </c>
      <c r="D42" s="124" t="str">
        <f>'[1]POOL-joueus'!$D$12</f>
        <v>Vincent Lecavalier</v>
      </c>
      <c r="E42" s="107">
        <f>'[1]POOL-joueus'!$E$12</f>
        <v>68</v>
      </c>
      <c r="F42" s="107">
        <f>'[1]POOL-joueus'!$F$12</f>
        <v>28</v>
      </c>
      <c r="G42" s="107">
        <f>'[1]POOL-joueus'!$G$12</f>
        <v>36</v>
      </c>
      <c r="H42" s="44">
        <f t="shared" si="7"/>
        <v>64</v>
      </c>
      <c r="I42" s="45">
        <f t="shared" si="8"/>
        <v>0.9411764705882353</v>
      </c>
      <c r="J42" s="7"/>
      <c r="K42" s="7"/>
      <c r="L42" s="7"/>
      <c r="M42" s="8"/>
      <c r="U42" s="161"/>
      <c r="W42" s="48" t="s">
        <v>42</v>
      </c>
      <c r="X42" s="21">
        <v>246</v>
      </c>
      <c r="Y42" s="22">
        <v>170</v>
      </c>
      <c r="Z42" s="23">
        <v>0.6910569105691057</v>
      </c>
      <c r="AA42" s="22">
        <v>191.9</v>
      </c>
      <c r="AB42" s="22" t="s">
        <v>152</v>
      </c>
    </row>
    <row r="43" spans="2:28" ht="15" customHeight="1">
      <c r="B43" s="107">
        <f>'[1]POOL-joueus'!$B$25</f>
        <v>38.104109589041094</v>
      </c>
      <c r="C43" s="107" t="str">
        <f>'[1]POOL-joueus'!$C$25</f>
        <v>Van</v>
      </c>
      <c r="D43" s="124" t="str">
        <f>'[1]POOL-joueus'!$D$25</f>
        <v>Mats Sundin</v>
      </c>
      <c r="E43" s="107">
        <f>('[1]POOL-joueus'!$E$25)-14</f>
        <v>11</v>
      </c>
      <c r="F43" s="107">
        <f>('[1]POOL-joueus'!$F$25)-6</f>
        <v>1</v>
      </c>
      <c r="G43" s="107">
        <f>('[1]POOL-joueus'!$G$25)-5</f>
        <v>5</v>
      </c>
      <c r="H43" s="44">
        <f t="shared" si="7"/>
        <v>6</v>
      </c>
      <c r="I43" s="45">
        <f t="shared" si="8"/>
        <v>0.5454545454545454</v>
      </c>
      <c r="J43" s="7"/>
      <c r="K43" s="7"/>
      <c r="L43" s="7"/>
      <c r="M43" s="8"/>
      <c r="N43" s="265" t="s">
        <v>61</v>
      </c>
      <c r="O43" s="266"/>
      <c r="P43" s="266"/>
      <c r="Q43" s="266"/>
      <c r="R43" s="266"/>
      <c r="S43" s="267"/>
      <c r="T43" s="53"/>
      <c r="U43" s="161"/>
      <c r="W43" s="49" t="s">
        <v>43</v>
      </c>
      <c r="X43" s="21">
        <v>274</v>
      </c>
      <c r="Y43" s="22">
        <v>201</v>
      </c>
      <c r="Z43" s="23">
        <v>0.7335766423357665</v>
      </c>
      <c r="AA43" s="22">
        <v>207.1</v>
      </c>
      <c r="AB43" s="28" t="s">
        <v>150</v>
      </c>
    </row>
    <row r="44" spans="2:28" ht="15" customHeight="1" thickBot="1">
      <c r="B44" s="106">
        <f>'[1]POOL-joueus'!$B$22</f>
        <v>25.876712328767123</v>
      </c>
      <c r="C44" s="106" t="str">
        <f>'[1]POOL-joueus'!$C$22</f>
        <v>Buf</v>
      </c>
      <c r="D44" s="126" t="str">
        <f>'[1]POOL-joueus'!$D$22</f>
        <v>Derek Roy</v>
      </c>
      <c r="E44" s="123">
        <f>'[1]POOL-joueus'!$E$22</f>
        <v>67</v>
      </c>
      <c r="F44" s="123">
        <f>'[1]POOL-joueus'!$F$22</f>
        <v>24</v>
      </c>
      <c r="G44" s="123">
        <f>'[1]POOL-joueus'!$G$22</f>
        <v>37</v>
      </c>
      <c r="H44" s="37">
        <f t="shared" si="7"/>
        <v>61</v>
      </c>
      <c r="I44" s="46">
        <f t="shared" si="8"/>
        <v>0.9104477611940298</v>
      </c>
      <c r="J44" s="7"/>
      <c r="K44" s="7"/>
      <c r="L44" s="7"/>
      <c r="M44" s="8"/>
      <c r="N44" s="65" t="s">
        <v>8</v>
      </c>
      <c r="O44" s="66" t="s">
        <v>9</v>
      </c>
      <c r="P44" s="66" t="s">
        <v>10</v>
      </c>
      <c r="Q44" s="65" t="s">
        <v>11</v>
      </c>
      <c r="R44" s="65" t="s">
        <v>68</v>
      </c>
      <c r="S44" s="65" t="s">
        <v>41</v>
      </c>
      <c r="T44" s="164"/>
      <c r="U44" s="161"/>
      <c r="W44" s="49" t="s">
        <v>44</v>
      </c>
      <c r="X44" s="21">
        <v>289</v>
      </c>
      <c r="Y44" s="22">
        <v>165</v>
      </c>
      <c r="Z44" s="23">
        <v>0.5709342560553633</v>
      </c>
      <c r="AA44" s="22">
        <v>226.7</v>
      </c>
      <c r="AB44" s="28" t="s">
        <v>153</v>
      </c>
    </row>
    <row r="45" spans="2:28" ht="15" customHeight="1" thickTop="1">
      <c r="B45" s="274" t="s">
        <v>26</v>
      </c>
      <c r="C45" s="275"/>
      <c r="D45" s="255"/>
      <c r="E45" s="14">
        <f>SUM(E40:E44)</f>
        <v>268</v>
      </c>
      <c r="F45" s="14">
        <f>SUM(F40:F44)</f>
        <v>90</v>
      </c>
      <c r="G45" s="14">
        <f>SUM(G40:G44)</f>
        <v>161</v>
      </c>
      <c r="H45" s="33">
        <f t="shared" si="7"/>
        <v>251</v>
      </c>
      <c r="I45" s="50">
        <f t="shared" si="8"/>
        <v>0.9365671641791045</v>
      </c>
      <c r="J45" s="7"/>
      <c r="K45" s="7"/>
      <c r="L45" s="7"/>
      <c r="M45" s="8"/>
      <c r="N45" s="48" t="s">
        <v>233</v>
      </c>
      <c r="O45" s="21">
        <v>224</v>
      </c>
      <c r="P45" s="22">
        <v>173</v>
      </c>
      <c r="Q45" s="23">
        <f>P45/O45</f>
        <v>0.7723214285714286</v>
      </c>
      <c r="R45" s="22">
        <v>169.2</v>
      </c>
      <c r="S45" s="22" t="s">
        <v>148</v>
      </c>
      <c r="T45" s="53"/>
      <c r="U45" s="161"/>
      <c r="W45" s="49" t="s">
        <v>45</v>
      </c>
      <c r="X45" s="21">
        <v>270</v>
      </c>
      <c r="Y45" s="22">
        <v>195</v>
      </c>
      <c r="Z45" s="23">
        <v>0.7222222222222222</v>
      </c>
      <c r="AA45" s="22">
        <v>201.4</v>
      </c>
      <c r="AB45" s="28" t="s">
        <v>151</v>
      </c>
    </row>
    <row r="46" spans="2:28" ht="1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8"/>
      <c r="N46" s="49" t="s">
        <v>175</v>
      </c>
      <c r="O46" s="21">
        <v>285</v>
      </c>
      <c r="P46" s="22">
        <v>210</v>
      </c>
      <c r="Q46" s="23">
        <f>P46/O46</f>
        <v>0.7368421052631579</v>
      </c>
      <c r="R46" s="22">
        <v>220.7</v>
      </c>
      <c r="S46" s="28" t="s">
        <v>151</v>
      </c>
      <c r="T46" s="53"/>
      <c r="U46" s="161"/>
      <c r="W46" s="49" t="s">
        <v>46</v>
      </c>
      <c r="X46" s="21">
        <v>272</v>
      </c>
      <c r="Y46" s="22">
        <v>235</v>
      </c>
      <c r="Z46" s="23">
        <v>0.8639705882352942</v>
      </c>
      <c r="AA46" s="22">
        <v>207.9</v>
      </c>
      <c r="AB46" s="28" t="s">
        <v>147</v>
      </c>
    </row>
    <row r="47" spans="2:28" ht="15" customHeight="1" thickBot="1">
      <c r="B47" s="256" t="s">
        <v>25</v>
      </c>
      <c r="C47" s="257"/>
      <c r="D47" s="257"/>
      <c r="E47" s="257"/>
      <c r="F47" s="257"/>
      <c r="G47" s="257"/>
      <c r="H47" s="257"/>
      <c r="I47" s="258"/>
      <c r="J47" s="7"/>
      <c r="K47" s="7"/>
      <c r="L47" s="7"/>
      <c r="M47" s="8"/>
      <c r="N47" s="49" t="s">
        <v>176</v>
      </c>
      <c r="O47" s="21">
        <v>291</v>
      </c>
      <c r="P47" s="22">
        <v>248</v>
      </c>
      <c r="Q47" s="23">
        <f>P47/O47</f>
        <v>0.852233676975945</v>
      </c>
      <c r="R47" s="22">
        <v>236.9</v>
      </c>
      <c r="S47" s="28" t="s">
        <v>147</v>
      </c>
      <c r="T47" s="53"/>
      <c r="U47" s="161"/>
      <c r="W47" s="49" t="s">
        <v>47</v>
      </c>
      <c r="X47" s="21">
        <v>349</v>
      </c>
      <c r="Y47" s="22">
        <v>271</v>
      </c>
      <c r="Z47" s="23">
        <v>0.7765042979942693</v>
      </c>
      <c r="AA47" s="22">
        <v>223.7</v>
      </c>
      <c r="AB47" s="28" t="s">
        <v>149</v>
      </c>
    </row>
    <row r="48" spans="2:28" ht="15" customHeight="1" thickBot="1">
      <c r="B48" s="30" t="s">
        <v>15</v>
      </c>
      <c r="C48" s="30" t="s">
        <v>29</v>
      </c>
      <c r="D48" s="30" t="s">
        <v>17</v>
      </c>
      <c r="E48" s="31" t="s">
        <v>2</v>
      </c>
      <c r="F48" s="31" t="s">
        <v>21</v>
      </c>
      <c r="G48" s="31" t="s">
        <v>30</v>
      </c>
      <c r="H48" s="32" t="s">
        <v>6</v>
      </c>
      <c r="I48" s="31" t="s">
        <v>11</v>
      </c>
      <c r="J48" s="7"/>
      <c r="K48" s="7"/>
      <c r="L48" s="7"/>
      <c r="M48" s="8"/>
      <c r="N48" s="49" t="s">
        <v>177</v>
      </c>
      <c r="O48" s="21">
        <v>273</v>
      </c>
      <c r="P48" s="22">
        <v>249</v>
      </c>
      <c r="Q48" s="23">
        <f>P48/O48</f>
        <v>0.9120879120879121</v>
      </c>
      <c r="R48" s="241">
        <v>209</v>
      </c>
      <c r="S48" s="28" t="s">
        <v>95</v>
      </c>
      <c r="T48" s="53"/>
      <c r="U48" s="161"/>
      <c r="W48" s="49" t="s">
        <v>48</v>
      </c>
      <c r="X48" s="21">
        <v>59</v>
      </c>
      <c r="Y48" s="22">
        <v>46</v>
      </c>
      <c r="Z48" s="23">
        <v>0.7796610169491526</v>
      </c>
      <c r="AA48" s="22">
        <v>42.1</v>
      </c>
      <c r="AB48" s="28" t="s">
        <v>148</v>
      </c>
    </row>
    <row r="49" spans="2:21" ht="15" customHeight="1" thickTop="1">
      <c r="B49" s="107">
        <f>'[1]POOL-joueus'!$B$277</f>
        <v>32.69041095890411</v>
      </c>
      <c r="C49" s="107" t="str">
        <f>'[1]POOL-joueus'!$C$277</f>
        <v>S.J.</v>
      </c>
      <c r="D49" s="124" t="str">
        <f>'[1]POOL-joueus'!$D$277</f>
        <v>Dan Boyle</v>
      </c>
      <c r="E49" s="107">
        <f>'[1]POOL-joueus'!$E$277</f>
        <v>61</v>
      </c>
      <c r="F49" s="107">
        <f>'[1]POOL-joueus'!$F$277</f>
        <v>14</v>
      </c>
      <c r="G49" s="107">
        <f>'[1]POOL-joueus'!$G$277</f>
        <v>33</v>
      </c>
      <c r="H49" s="44">
        <f aca="true" t="shared" si="9" ref="H49:H57">SUM(F49:G49)</f>
        <v>47</v>
      </c>
      <c r="I49" s="45">
        <f aca="true" t="shared" si="10" ref="I49:I57">H49/E49</f>
        <v>0.7704918032786885</v>
      </c>
      <c r="J49" s="7"/>
      <c r="K49" s="7"/>
      <c r="L49" s="7"/>
      <c r="M49" s="8"/>
      <c r="N49" s="49" t="s">
        <v>178</v>
      </c>
      <c r="O49" s="21"/>
      <c r="P49" s="22"/>
      <c r="Q49" s="23"/>
      <c r="R49" s="22"/>
      <c r="S49" s="28"/>
      <c r="T49" s="53"/>
      <c r="U49" s="161"/>
    </row>
    <row r="50" spans="2:21" ht="15" customHeight="1">
      <c r="B50" s="107">
        <f>'[1]POOL-joueus'!$B$63</f>
        <v>29.827397260273973</v>
      </c>
      <c r="C50" s="107" t="str">
        <f>'[1]POOL-joueus'!$C$63</f>
        <v>Chi</v>
      </c>
      <c r="D50" s="124" t="str">
        <f>'[1]POOL-joueus'!$D$63</f>
        <v>Brian Campbell</v>
      </c>
      <c r="E50" s="107">
        <f>'[1]POOL-joueus'!$E$63</f>
        <v>65</v>
      </c>
      <c r="F50" s="107">
        <f>'[1]POOL-joueus'!$F$63</f>
        <v>7</v>
      </c>
      <c r="G50" s="107">
        <f>'[1]POOL-joueus'!$G$63</f>
        <v>37</v>
      </c>
      <c r="H50" s="44">
        <f t="shared" si="9"/>
        <v>44</v>
      </c>
      <c r="I50" s="45">
        <f t="shared" si="10"/>
        <v>0.676923076923077</v>
      </c>
      <c r="J50" s="7"/>
      <c r="K50" s="7"/>
      <c r="L50" s="7"/>
      <c r="M50" s="8"/>
      <c r="N50" s="49" t="s">
        <v>180</v>
      </c>
      <c r="O50" s="21"/>
      <c r="P50" s="22"/>
      <c r="Q50" s="23"/>
      <c r="R50" s="22"/>
      <c r="S50" s="28"/>
      <c r="T50" s="53"/>
      <c r="U50" s="161"/>
    </row>
    <row r="51" spans="2:21" ht="15" customHeight="1">
      <c r="B51" s="107">
        <f>'[1]POOL-joueus'!$B$189</f>
        <v>26</v>
      </c>
      <c r="C51" s="107" t="str">
        <f>'[1]POOL-joueus'!$C$189</f>
        <v>Bos</v>
      </c>
      <c r="D51" s="124" t="str">
        <f>'[1]POOL-joueus'!$D$189</f>
        <v>Dennis Wideman</v>
      </c>
      <c r="E51" s="107">
        <f>'[1]POOL-joueus'!$E$189</f>
        <v>68</v>
      </c>
      <c r="F51" s="107">
        <f>'[1]POOL-joueus'!$F$189</f>
        <v>12</v>
      </c>
      <c r="G51" s="107">
        <f>'[1]POOL-joueus'!$G$189</f>
        <v>32</v>
      </c>
      <c r="H51" s="44">
        <f t="shared" si="9"/>
        <v>44</v>
      </c>
      <c r="I51" s="45">
        <f t="shared" si="10"/>
        <v>0.6470588235294118</v>
      </c>
      <c r="J51" s="145"/>
      <c r="K51" s="7"/>
      <c r="L51" s="7"/>
      <c r="M51" s="8"/>
      <c r="N51" s="49" t="s">
        <v>179</v>
      </c>
      <c r="O51" s="21"/>
      <c r="P51" s="22"/>
      <c r="Q51" s="23"/>
      <c r="R51" s="22"/>
      <c r="S51" s="28"/>
      <c r="T51" s="53"/>
      <c r="U51" s="161"/>
    </row>
    <row r="52" spans="2:21" ht="15" customHeight="1">
      <c r="B52" s="107">
        <f>'[1]POOL-joueus'!$B$180</f>
        <v>25.476712328767125</v>
      </c>
      <c r="C52" s="107" t="str">
        <f>'[1]POOL-joueus'!$C$180</f>
        <v>Fla</v>
      </c>
      <c r="D52" s="124" t="str">
        <f>'[1]POOL-joueus'!$D$180</f>
        <v>Jay Bouwmeester</v>
      </c>
      <c r="E52" s="107">
        <f>'[1]POOL-joueus'!$E$180</f>
        <v>67</v>
      </c>
      <c r="F52" s="107">
        <f>'[1]POOL-joueus'!$F$180</f>
        <v>13</v>
      </c>
      <c r="G52" s="107">
        <f>'[1]POOL-joueus'!$G$180</f>
        <v>22</v>
      </c>
      <c r="H52" s="44">
        <f t="shared" si="9"/>
        <v>35</v>
      </c>
      <c r="I52" s="45">
        <f t="shared" si="10"/>
        <v>0.5223880597014925</v>
      </c>
      <c r="J52" s="7"/>
      <c r="K52" s="7"/>
      <c r="L52" s="7"/>
      <c r="M52" s="8"/>
      <c r="U52" s="161"/>
    </row>
    <row r="53" spans="2:29" ht="15" customHeight="1">
      <c r="B53" s="183">
        <f>'[1]POOL-joueus'!$B$234</f>
        <v>24.515068493150686</v>
      </c>
      <c r="C53" s="183" t="str">
        <f>'[1]POOL-joueus'!$C$234</f>
        <v>T.B.</v>
      </c>
      <c r="D53" s="184" t="str">
        <f>'[1]POOL-joueus'!$D$234</f>
        <v>Paul Ranger</v>
      </c>
      <c r="E53" s="183">
        <v>39</v>
      </c>
      <c r="F53" s="183">
        <v>2</v>
      </c>
      <c r="G53" s="183">
        <v>10</v>
      </c>
      <c r="H53" s="187">
        <f t="shared" si="9"/>
        <v>12</v>
      </c>
      <c r="I53" s="188">
        <f t="shared" si="10"/>
        <v>0.3076923076923077</v>
      </c>
      <c r="J53" s="7"/>
      <c r="K53" s="7"/>
      <c r="L53" s="7"/>
      <c r="M53" s="8"/>
      <c r="N53" s="1" t="s">
        <v>69</v>
      </c>
      <c r="U53" s="161"/>
      <c r="V53" s="161"/>
      <c r="W53" s="161"/>
      <c r="X53" s="161"/>
      <c r="Y53" s="161"/>
      <c r="Z53" s="161"/>
      <c r="AA53" s="161"/>
      <c r="AB53" s="161"/>
      <c r="AC53" s="161"/>
    </row>
    <row r="54" spans="2:21" ht="15" customHeight="1" thickBot="1">
      <c r="B54" s="185">
        <f>'[1]POOL-joueus'!$B$441</f>
        <v>29.852054794520548</v>
      </c>
      <c r="C54" s="185" t="str">
        <f>'[1]POOL-joueus'!$C$441</f>
        <v>Tor</v>
      </c>
      <c r="D54" s="186" t="str">
        <f>'[1]POOL-joueus'!$D$441</f>
        <v>Mike Van Ryn</v>
      </c>
      <c r="E54" s="185">
        <v>17</v>
      </c>
      <c r="F54" s="185">
        <v>3</v>
      </c>
      <c r="G54" s="185">
        <v>6</v>
      </c>
      <c r="H54" s="187">
        <f t="shared" si="9"/>
        <v>9</v>
      </c>
      <c r="I54" s="188">
        <f t="shared" si="10"/>
        <v>0.5294117647058824</v>
      </c>
      <c r="J54" s="7"/>
      <c r="K54" s="7"/>
      <c r="L54" s="7"/>
      <c r="M54" s="8"/>
      <c r="N54" s="1" t="s">
        <v>67</v>
      </c>
      <c r="U54" s="161"/>
    </row>
    <row r="55" spans="2:21" ht="15" customHeight="1" thickTop="1">
      <c r="B55" s="106">
        <f>'[1]POOL-joueus'!$B$291</f>
        <v>30.295890410958904</v>
      </c>
      <c r="C55" s="106" t="str">
        <f>'[1]POOL-joueus'!$C$291</f>
        <v>L.A.</v>
      </c>
      <c r="D55" s="126" t="str">
        <f>'[1]POOL-joueus'!$D$291</f>
        <v>Tom Preissing</v>
      </c>
      <c r="E55" s="106">
        <f>('[1]POOL-joueus'!$E$291)-9</f>
        <v>13</v>
      </c>
      <c r="F55" s="106">
        <f>('[1]POOL-joueus'!$F$291)-3</f>
        <v>0</v>
      </c>
      <c r="G55" s="106">
        <f>('[1]POOL-joueus'!$G$291)-3</f>
        <v>1</v>
      </c>
      <c r="H55" s="44">
        <f t="shared" si="9"/>
        <v>1</v>
      </c>
      <c r="I55" s="45">
        <f t="shared" si="10"/>
        <v>0.07692307692307693</v>
      </c>
      <c r="J55" s="7"/>
      <c r="K55" s="7"/>
      <c r="L55" s="7"/>
      <c r="M55" s="99"/>
      <c r="U55" s="161"/>
    </row>
    <row r="56" spans="1:29" ht="15" customHeight="1" thickBot="1">
      <c r="A56" s="1" t="s">
        <v>237</v>
      </c>
      <c r="B56" s="107">
        <f>'[1]POOL-joueus'!$B$475</f>
        <v>18.673972602739727</v>
      </c>
      <c r="C56" s="107" t="str">
        <f>'[1]POOL-joueus'!$C$475</f>
        <v>Atl</v>
      </c>
      <c r="D56" s="124" t="str">
        <f>'[1]POOL-joueus'!$D$475</f>
        <v>Zach Bogosian</v>
      </c>
      <c r="E56" s="123">
        <f>('[1]POOL-joueus'!$E$475)-4</f>
        <v>29</v>
      </c>
      <c r="F56" s="123">
        <f>('[1]POOL-joueus'!$F$475)-1</f>
        <v>4</v>
      </c>
      <c r="G56" s="123">
        <f>('[1]POOL-joueus'!$G$475)-1</f>
        <v>4</v>
      </c>
      <c r="H56" s="37">
        <f t="shared" si="9"/>
        <v>8</v>
      </c>
      <c r="I56" s="46">
        <f t="shared" si="10"/>
        <v>0.27586206896551724</v>
      </c>
      <c r="J56" s="7"/>
      <c r="K56" s="7"/>
      <c r="L56" s="7"/>
      <c r="M56" s="8"/>
      <c r="U56" s="161"/>
      <c r="W56" s="250" t="s">
        <v>119</v>
      </c>
      <c r="X56" s="250"/>
      <c r="Y56" s="250"/>
      <c r="Z56" s="250"/>
      <c r="AA56" s="250"/>
      <c r="AB56" s="250"/>
      <c r="AC56" s="250"/>
    </row>
    <row r="57" spans="2:21" ht="15" customHeight="1">
      <c r="B57" s="274" t="s">
        <v>26</v>
      </c>
      <c r="C57" s="275"/>
      <c r="D57" s="255"/>
      <c r="E57" s="14">
        <f>SUM(E49:E56)</f>
        <v>359</v>
      </c>
      <c r="F57" s="14">
        <f>SUM(F49:F56)</f>
        <v>55</v>
      </c>
      <c r="G57" s="14">
        <f>SUM(G49:G56)</f>
        <v>145</v>
      </c>
      <c r="H57" s="33">
        <f t="shared" si="9"/>
        <v>200</v>
      </c>
      <c r="I57" s="50">
        <f t="shared" si="10"/>
        <v>0.5571030640668524</v>
      </c>
      <c r="J57" s="7"/>
      <c r="K57" s="7"/>
      <c r="L57" s="7"/>
      <c r="M57" s="8"/>
      <c r="U57" s="161"/>
    </row>
    <row r="58" spans="2:29" ht="15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8"/>
      <c r="U58" s="161"/>
      <c r="W58" s="322" t="s">
        <v>91</v>
      </c>
      <c r="X58" s="322"/>
      <c r="Y58" s="322"/>
      <c r="AA58" s="322" t="s">
        <v>91</v>
      </c>
      <c r="AB58" s="322"/>
      <c r="AC58" s="322"/>
    </row>
    <row r="59" spans="2:29" ht="15" customHeight="1" thickBot="1">
      <c r="B59" s="319" t="s">
        <v>141</v>
      </c>
      <c r="C59" s="320"/>
      <c r="D59" s="320"/>
      <c r="E59" s="320"/>
      <c r="F59" s="320"/>
      <c r="G59" s="320"/>
      <c r="H59" s="320"/>
      <c r="I59" s="320"/>
      <c r="J59" s="320"/>
      <c r="K59" s="321"/>
      <c r="L59" s="7"/>
      <c r="M59" s="8"/>
      <c r="U59" s="161"/>
      <c r="W59" s="47" t="s">
        <v>90</v>
      </c>
      <c r="X59" s="47" t="s">
        <v>92</v>
      </c>
      <c r="Y59" s="47" t="s">
        <v>3</v>
      </c>
      <c r="AA59" s="47" t="s">
        <v>105</v>
      </c>
      <c r="AB59" s="47" t="s">
        <v>92</v>
      </c>
      <c r="AC59" s="47" t="s">
        <v>3</v>
      </c>
    </row>
    <row r="60" spans="2:29" ht="14.25" thickBot="1">
      <c r="B60" s="30" t="s">
        <v>15</v>
      </c>
      <c r="C60" s="30" t="s">
        <v>16</v>
      </c>
      <c r="D60" s="30" t="s">
        <v>17</v>
      </c>
      <c r="E60" s="31" t="s">
        <v>2</v>
      </c>
      <c r="F60" s="31" t="s">
        <v>18</v>
      </c>
      <c r="G60" s="31" t="s">
        <v>19</v>
      </c>
      <c r="H60" s="31" t="s">
        <v>20</v>
      </c>
      <c r="I60" s="31" t="s">
        <v>21</v>
      </c>
      <c r="J60" s="31" t="s">
        <v>22</v>
      </c>
      <c r="K60" s="32" t="s">
        <v>6</v>
      </c>
      <c r="L60" s="7"/>
      <c r="M60" s="2"/>
      <c r="U60" s="161"/>
      <c r="W60" s="95" t="s">
        <v>99</v>
      </c>
      <c r="X60" s="96" t="s">
        <v>103</v>
      </c>
      <c r="Y60" s="96">
        <v>1251.6</v>
      </c>
      <c r="AA60" s="95" t="s">
        <v>109</v>
      </c>
      <c r="AB60" s="96" t="s">
        <v>124</v>
      </c>
      <c r="AC60" s="96">
        <v>76</v>
      </c>
    </row>
    <row r="61" spans="2:29" ht="15" customHeight="1" thickTop="1">
      <c r="B61" s="121"/>
      <c r="C61" s="121"/>
      <c r="D61" s="122"/>
      <c r="E61" s="121"/>
      <c r="F61" s="121"/>
      <c r="G61" s="121"/>
      <c r="H61" s="121"/>
      <c r="I61" s="121"/>
      <c r="J61" s="121"/>
      <c r="K61" s="44">
        <f>(F61*2)+G61+(H61*4)+(I61*10)+J61</f>
        <v>0</v>
      </c>
      <c r="L61" s="7"/>
      <c r="M61" s="2"/>
      <c r="U61" s="161"/>
      <c r="W61" s="95" t="s">
        <v>100</v>
      </c>
      <c r="X61" s="96" t="s">
        <v>103</v>
      </c>
      <c r="Y61" s="96">
        <v>1641.6</v>
      </c>
      <c r="AA61" s="95" t="s">
        <v>110</v>
      </c>
      <c r="AB61" s="96" t="s">
        <v>135</v>
      </c>
      <c r="AC61" s="96">
        <v>84</v>
      </c>
    </row>
    <row r="62" spans="2:29" ht="15" customHeight="1">
      <c r="B62" s="108"/>
      <c r="C62" s="108"/>
      <c r="D62" s="110"/>
      <c r="E62" s="108"/>
      <c r="F62" s="108"/>
      <c r="G62" s="108"/>
      <c r="H62" s="108"/>
      <c r="I62" s="108"/>
      <c r="J62" s="108"/>
      <c r="K62" s="44">
        <f>(F62*2)+G62+(H62*4)+(I62*10)+J62</f>
        <v>0</v>
      </c>
      <c r="L62" s="7"/>
      <c r="M62" s="2"/>
      <c r="U62" s="161"/>
      <c r="W62" s="95" t="s">
        <v>101</v>
      </c>
      <c r="X62" s="96" t="s">
        <v>115</v>
      </c>
      <c r="Y62" s="96" t="s">
        <v>136</v>
      </c>
      <c r="AA62" s="95" t="s">
        <v>111</v>
      </c>
      <c r="AB62" s="102" t="s">
        <v>93</v>
      </c>
      <c r="AC62" s="102" t="s">
        <v>137</v>
      </c>
    </row>
    <row r="63" spans="2:21" ht="15" customHeight="1" thickBot="1">
      <c r="B63" s="108"/>
      <c r="C63" s="108"/>
      <c r="D63" s="110"/>
      <c r="E63" s="137"/>
      <c r="F63" s="137"/>
      <c r="G63" s="137"/>
      <c r="H63" s="137"/>
      <c r="I63" s="137"/>
      <c r="J63" s="137"/>
      <c r="K63" s="120">
        <f>(F63*2)+G63+(H63*4)+(I63*10)+J63</f>
        <v>0</v>
      </c>
      <c r="L63" s="7"/>
      <c r="M63" s="2"/>
      <c r="U63" s="161"/>
    </row>
    <row r="64" spans="2:21" ht="15" customHeight="1">
      <c r="B64" s="274" t="s">
        <v>26</v>
      </c>
      <c r="C64" s="275"/>
      <c r="D64" s="255"/>
      <c r="E64" s="14">
        <f aca="true" t="shared" si="11" ref="E64:J64">SUM(E60:E63)</f>
        <v>0</v>
      </c>
      <c r="F64" s="14">
        <f t="shared" si="11"/>
        <v>0</v>
      </c>
      <c r="G64" s="14">
        <f t="shared" si="11"/>
        <v>0</v>
      </c>
      <c r="H64" s="14">
        <f t="shared" si="11"/>
        <v>0</v>
      </c>
      <c r="I64" s="14">
        <f t="shared" si="11"/>
        <v>0</v>
      </c>
      <c r="J64" s="14">
        <f t="shared" si="11"/>
        <v>0</v>
      </c>
      <c r="K64" s="33">
        <f>(F64*2)+G64+(H64*4)+(I64*10)+J64</f>
        <v>0</v>
      </c>
      <c r="L64" s="7"/>
      <c r="M64" s="2"/>
      <c r="U64" s="162"/>
    </row>
    <row r="65" spans="2:21" ht="15" customHeight="1" thickBot="1">
      <c r="B65" s="319" t="s">
        <v>140</v>
      </c>
      <c r="C65" s="320"/>
      <c r="D65" s="320"/>
      <c r="E65" s="320"/>
      <c r="F65" s="320"/>
      <c r="G65" s="320"/>
      <c r="H65" s="320"/>
      <c r="I65" s="321"/>
      <c r="L65" s="52"/>
      <c r="M65" s="2"/>
      <c r="U65" s="162"/>
    </row>
    <row r="66" spans="1:21" ht="15" customHeight="1" thickBot="1">
      <c r="A66" s="30" t="s">
        <v>143</v>
      </c>
      <c r="B66" s="30" t="s">
        <v>15</v>
      </c>
      <c r="C66" s="30" t="s">
        <v>29</v>
      </c>
      <c r="D66" s="30" t="s">
        <v>17</v>
      </c>
      <c r="E66" s="31" t="s">
        <v>2</v>
      </c>
      <c r="F66" s="31" t="s">
        <v>21</v>
      </c>
      <c r="G66" s="31" t="s">
        <v>30</v>
      </c>
      <c r="H66" s="32" t="s">
        <v>6</v>
      </c>
      <c r="I66" s="31" t="s">
        <v>11</v>
      </c>
      <c r="L66" s="7"/>
      <c r="M66" s="2"/>
      <c r="U66" s="161"/>
    </row>
    <row r="67" spans="1:21" ht="15" customHeight="1" thickTop="1">
      <c r="A67" s="103" t="s">
        <v>145</v>
      </c>
      <c r="B67" s="107">
        <f>'[1]POOL-joueus'!$B$492</f>
        <v>19.589041095890412</v>
      </c>
      <c r="C67" s="107" t="str">
        <f>'[1]POOL-joueus'!$C$492</f>
        <v>Cbj</v>
      </c>
      <c r="D67" s="124" t="str">
        <f>'[1]POOL-joueus'!$D$492</f>
        <v>Jakub Voracek</v>
      </c>
      <c r="E67" s="107">
        <f>'[1]POOL-joueus'!$E$492</f>
        <v>66</v>
      </c>
      <c r="F67" s="107">
        <f>'[1]POOL-joueus'!$F$492</f>
        <v>9</v>
      </c>
      <c r="G67" s="107">
        <f>'[1]POOL-joueus'!$G$492</f>
        <v>23</v>
      </c>
      <c r="H67" s="44">
        <f>SUM(F67:G67)</f>
        <v>32</v>
      </c>
      <c r="I67" s="29">
        <f>H67/E67</f>
        <v>0.48484848484848486</v>
      </c>
      <c r="L67" s="7"/>
      <c r="M67" s="2"/>
      <c r="U67" s="161"/>
    </row>
    <row r="68" spans="1:21" ht="12.75">
      <c r="A68" s="14" t="s">
        <v>145</v>
      </c>
      <c r="B68" s="107">
        <f>'[1]POOL-joueus'!$B$395</f>
        <v>22.005479452054793</v>
      </c>
      <c r="C68" s="107" t="str">
        <f>'[1]POOL-joueus'!$C$395</f>
        <v>Ana</v>
      </c>
      <c r="D68" s="124" t="str">
        <f>'[1]POOL-joueus'!$D$395</f>
        <v>Bobby Ryan</v>
      </c>
      <c r="E68" s="107">
        <f>(('[1]POOL-joueus'!$E$395)-5)-28</f>
        <v>17</v>
      </c>
      <c r="F68" s="107">
        <f>(('[1]POOL-joueus'!$F$395)-2)-15</f>
        <v>6</v>
      </c>
      <c r="G68" s="107">
        <f>(('[1]POOL-joueus'!$G$395)-2)-14</f>
        <v>4</v>
      </c>
      <c r="H68" s="44">
        <f>SUM(F68:G68)</f>
        <v>10</v>
      </c>
      <c r="I68" s="29">
        <f>H68/E68</f>
        <v>0.5882352941176471</v>
      </c>
      <c r="L68" s="7"/>
      <c r="M68" s="2"/>
      <c r="U68" s="161"/>
    </row>
    <row r="69" spans="1:21" ht="15.75" customHeight="1">
      <c r="A69" s="201" t="s">
        <v>144</v>
      </c>
      <c r="B69" s="185">
        <f>'[1]POOL-joueus'!$B$439</f>
        <v>21.487671232876714</v>
      </c>
      <c r="C69" s="185" t="str">
        <f>'[1]POOL-joueus'!$C$439</f>
        <v>Cbj</v>
      </c>
      <c r="D69" s="186" t="str">
        <f>'[1]POOL-joueus'!$D$439</f>
        <v>Derick Brassard</v>
      </c>
      <c r="E69" s="185">
        <v>23</v>
      </c>
      <c r="F69" s="185">
        <v>8</v>
      </c>
      <c r="G69" s="185">
        <v>11</v>
      </c>
      <c r="H69" s="203">
        <f>SUM(F69:G69)</f>
        <v>19</v>
      </c>
      <c r="I69" s="182">
        <f>H69/E69</f>
        <v>0.8260869565217391</v>
      </c>
      <c r="J69" s="143"/>
      <c r="L69" s="7"/>
      <c r="M69" s="2"/>
      <c r="U69" s="161"/>
    </row>
    <row r="70" spans="1:21" ht="15" customHeight="1" thickBot="1">
      <c r="A70" s="201" t="s">
        <v>144</v>
      </c>
      <c r="B70" s="185">
        <f>'[1]POOL-joueus'!$B$625</f>
        <v>19.106849315068494</v>
      </c>
      <c r="C70" s="185" t="str">
        <f>'[1]POOL-joueus'!$C$625</f>
        <v>T.B.</v>
      </c>
      <c r="D70" s="186" t="str">
        <f>'[1]POOL-joueus'!$D$625</f>
        <v>Steven Stamkos</v>
      </c>
      <c r="E70" s="204">
        <v>22</v>
      </c>
      <c r="F70" s="204">
        <v>3</v>
      </c>
      <c r="G70" s="204">
        <v>3</v>
      </c>
      <c r="H70" s="211">
        <f>SUM(F70:G70)</f>
        <v>6</v>
      </c>
      <c r="I70" s="212">
        <f>H70/E70</f>
        <v>0.2727272727272727</v>
      </c>
      <c r="L70" s="7"/>
      <c r="M70" s="2"/>
      <c r="U70" s="161"/>
    </row>
    <row r="71" spans="2:21" ht="15" customHeight="1">
      <c r="B71" s="278" t="s">
        <v>7</v>
      </c>
      <c r="C71" s="281"/>
      <c r="D71" s="279"/>
      <c r="E71" s="22">
        <f>SUM(E67:E70)</f>
        <v>128</v>
      </c>
      <c r="F71" s="22">
        <f>SUM(F67:F70)</f>
        <v>26</v>
      </c>
      <c r="G71" s="22">
        <f>SUM(G67:G70)</f>
        <v>41</v>
      </c>
      <c r="H71" s="33">
        <f>SUM(H67:H70)</f>
        <v>67</v>
      </c>
      <c r="I71" s="23">
        <f>H71/E71</f>
        <v>0.5234375</v>
      </c>
      <c r="L71" s="7"/>
      <c r="M71" s="2"/>
      <c r="U71" s="161"/>
    </row>
    <row r="72" spans="2:21" ht="15" customHeight="1">
      <c r="B72" s="76"/>
      <c r="C72" s="76"/>
      <c r="D72" s="76"/>
      <c r="E72" s="53"/>
      <c r="F72" s="53"/>
      <c r="G72" s="53"/>
      <c r="H72" s="53"/>
      <c r="I72" s="77"/>
      <c r="L72" s="7"/>
      <c r="M72" s="2"/>
      <c r="U72" s="161"/>
    </row>
    <row r="73" spans="2:21" ht="15" customHeight="1">
      <c r="B73" s="278" t="s">
        <v>142</v>
      </c>
      <c r="C73" s="281"/>
      <c r="D73" s="279"/>
      <c r="E73" s="109">
        <f>E64+E71</f>
        <v>128</v>
      </c>
      <c r="F73" s="112"/>
      <c r="G73" s="112"/>
      <c r="H73" s="44">
        <f>K64+H71</f>
        <v>67</v>
      </c>
      <c r="I73" s="29">
        <f>H73/E73</f>
        <v>0.5234375</v>
      </c>
      <c r="M73" s="2"/>
      <c r="U73" s="161"/>
    </row>
    <row r="74" spans="2:21" ht="15" customHeight="1" thickBot="1">
      <c r="B74" s="51"/>
      <c r="C74" s="51"/>
      <c r="D74" s="51"/>
      <c r="E74" s="51"/>
      <c r="F74" s="51"/>
      <c r="G74" s="51"/>
      <c r="H74" s="51"/>
      <c r="I74" s="51"/>
      <c r="J74" s="52"/>
      <c r="K74" s="52"/>
      <c r="M74" s="2"/>
      <c r="U74" s="161"/>
    </row>
    <row r="75" spans="2:21" ht="15" customHeight="1">
      <c r="B75" s="280" t="s">
        <v>63</v>
      </c>
      <c r="C75" s="280"/>
      <c r="D75" s="280"/>
      <c r="E75" s="280"/>
      <c r="F75" s="280"/>
      <c r="G75" s="280"/>
      <c r="H75" s="280"/>
      <c r="I75" s="280"/>
      <c r="J75" s="280"/>
      <c r="K75" s="280"/>
      <c r="M75" s="2"/>
      <c r="U75" s="161"/>
    </row>
    <row r="76" spans="2:21" ht="15" customHeight="1">
      <c r="B76" s="53"/>
      <c r="C76" s="53"/>
      <c r="D76" s="53"/>
      <c r="E76" s="53"/>
      <c r="F76" s="53"/>
      <c r="G76" s="53"/>
      <c r="H76" s="53"/>
      <c r="I76" s="53"/>
      <c r="J76" s="7"/>
      <c r="K76" s="7"/>
      <c r="M76" s="2"/>
      <c r="U76" s="161"/>
    </row>
    <row r="77" spans="2:21" ht="14.25" thickBot="1">
      <c r="B77" s="53"/>
      <c r="C77" s="248" t="s">
        <v>1</v>
      </c>
      <c r="D77" s="249"/>
      <c r="E77" s="54" t="s">
        <v>2</v>
      </c>
      <c r="F77" s="54" t="s">
        <v>3</v>
      </c>
      <c r="G77" s="54" t="s">
        <v>4</v>
      </c>
      <c r="H77" s="54" t="s">
        <v>5</v>
      </c>
      <c r="I77" s="54" t="s">
        <v>6</v>
      </c>
      <c r="J77" s="53"/>
      <c r="K77" s="53"/>
      <c r="M77" s="2"/>
      <c r="U77" s="161"/>
    </row>
    <row r="78" spans="2:21" ht="15" customHeight="1" thickTop="1">
      <c r="B78" s="53"/>
      <c r="C78" s="317" t="str">
        <f>'[1]Equipes-Pool'!$B$17</f>
        <v>Capitals de Washington</v>
      </c>
      <c r="D78" s="318"/>
      <c r="E78" s="195">
        <v>4</v>
      </c>
      <c r="F78" s="195">
        <v>6</v>
      </c>
      <c r="G78" s="195">
        <v>17</v>
      </c>
      <c r="H78" s="195">
        <v>13</v>
      </c>
      <c r="I78" s="191">
        <f>F78+(G78-H78)</f>
        <v>10</v>
      </c>
      <c r="J78" s="53"/>
      <c r="K78" s="53"/>
      <c r="M78" s="2"/>
      <c r="U78" s="161"/>
    </row>
    <row r="79" spans="2:21" ht="15" customHeight="1" thickBot="1">
      <c r="B79" s="53"/>
      <c r="C79" s="311" t="str">
        <f>'[1]Equipes-Pool'!$B$10</f>
        <v>Stars de Dallas</v>
      </c>
      <c r="D79" s="312"/>
      <c r="E79" s="40">
        <f>('[1]Equipes-Pool'!$C$10)-5</f>
        <v>63</v>
      </c>
      <c r="F79" s="40">
        <f>('[1]Equipes-Pool'!$D$10)-3</f>
        <v>69</v>
      </c>
      <c r="G79" s="40">
        <f>('[1]Equipes-Pool'!$E$10)-16</f>
        <v>180</v>
      </c>
      <c r="H79" s="40">
        <f>('[1]Equipes-Pool'!$F$10)-23</f>
        <v>186</v>
      </c>
      <c r="I79" s="14">
        <f>F79+(G79-H79)</f>
        <v>63</v>
      </c>
      <c r="J79" s="53"/>
      <c r="K79" s="53"/>
      <c r="M79" s="2"/>
      <c r="U79" s="161"/>
    </row>
    <row r="80" spans="2:21" ht="15" customHeight="1">
      <c r="B80" s="53"/>
      <c r="C80" s="278" t="s">
        <v>7</v>
      </c>
      <c r="D80" s="279"/>
      <c r="E80" s="22">
        <f>SUM(E78:E79)</f>
        <v>67</v>
      </c>
      <c r="F80" s="22">
        <f>SUM(F78:F79)</f>
        <v>75</v>
      </c>
      <c r="G80" s="22">
        <f>SUM(G78:G79)</f>
        <v>197</v>
      </c>
      <c r="H80" s="22">
        <f>SUM(H78:H79)</f>
        <v>199</v>
      </c>
      <c r="I80" s="56">
        <f>F80+(G80-H80)</f>
        <v>73</v>
      </c>
      <c r="J80" s="53"/>
      <c r="K80" s="53"/>
      <c r="M80" s="2"/>
      <c r="U80" s="161"/>
    </row>
    <row r="81" spans="10:21" ht="15" customHeight="1">
      <c r="J81" s="57"/>
      <c r="K81" s="57"/>
      <c r="M81" s="2"/>
      <c r="U81" s="161"/>
    </row>
    <row r="82" spans="2:21" ht="15" customHeight="1">
      <c r="B82" s="251" t="s">
        <v>13</v>
      </c>
      <c r="C82" s="252"/>
      <c r="D82" s="252"/>
      <c r="E82" s="252"/>
      <c r="F82" s="252"/>
      <c r="G82" s="252"/>
      <c r="H82" s="252"/>
      <c r="I82" s="252"/>
      <c r="J82" s="252"/>
      <c r="K82" s="253"/>
      <c r="M82" s="2"/>
      <c r="U82" s="162"/>
    </row>
    <row r="83" spans="2:21" ht="15.75" customHeight="1" thickBot="1">
      <c r="B83" s="54" t="s">
        <v>15</v>
      </c>
      <c r="C83" s="54" t="s">
        <v>16</v>
      </c>
      <c r="D83" s="54" t="s">
        <v>17</v>
      </c>
      <c r="E83" s="54" t="s">
        <v>2</v>
      </c>
      <c r="F83" s="54" t="s">
        <v>18</v>
      </c>
      <c r="G83" s="54" t="s">
        <v>19</v>
      </c>
      <c r="H83" s="54" t="s">
        <v>20</v>
      </c>
      <c r="I83" s="54" t="s">
        <v>21</v>
      </c>
      <c r="J83" s="54" t="s">
        <v>22</v>
      </c>
      <c r="K83" s="54" t="s">
        <v>6</v>
      </c>
      <c r="M83" s="2"/>
      <c r="U83" s="162"/>
    </row>
    <row r="84" spans="2:21" ht="13.5" thickTop="1">
      <c r="B84" s="108">
        <f>'[1]Pool-gardien'!$B$46</f>
        <v>24.75068493150685</v>
      </c>
      <c r="C84" s="108" t="str">
        <f>'[1]Pool-gardien'!$C$46</f>
        <v>Min</v>
      </c>
      <c r="D84" s="110" t="str">
        <f>'[1]Pool-gardien'!$D$46</f>
        <v>Josh Harding</v>
      </c>
      <c r="E84" s="108">
        <f>'[1]Pool-gardien'!$E$46</f>
        <v>16</v>
      </c>
      <c r="F84" s="108">
        <f>'[1]Pool-gardien'!$F$46</f>
        <v>2</v>
      </c>
      <c r="G84" s="108">
        <f>'[1]Pool-gardien'!$G$46</f>
        <v>1</v>
      </c>
      <c r="H84" s="108">
        <f>'[1]Pool-gardien'!$H$46</f>
        <v>0</v>
      </c>
      <c r="I84" s="108">
        <f>'[1]Pool-gardien'!$I$46</f>
        <v>0</v>
      </c>
      <c r="J84" s="108">
        <f>'[1]Pool-gardien'!$J$46</f>
        <v>0</v>
      </c>
      <c r="K84" s="14">
        <f aca="true" t="shared" si="12" ref="K84:K92">(F84*2)+G84+(H84*4)+(I84*10)+J84</f>
        <v>5</v>
      </c>
      <c r="L84" s="142"/>
      <c r="M84" s="2"/>
      <c r="U84" s="163"/>
    </row>
    <row r="85" spans="2:21" ht="15" customHeight="1">
      <c r="B85" s="109">
        <f>'[1]Pool-gardien'!$B$16</f>
        <v>32.71780821917808</v>
      </c>
      <c r="C85" s="109" t="str">
        <f>'[1]Pool-gardien'!$C$16</f>
        <v>Fla</v>
      </c>
      <c r="D85" s="111" t="str">
        <f>'[1]Pool-gardien'!$D$16</f>
        <v>Tomas Vokoun</v>
      </c>
      <c r="E85" s="109">
        <f>('[1]Pool-gardien'!$E$16)-9</f>
        <v>40</v>
      </c>
      <c r="F85" s="109">
        <f>('[1]Pool-gardien'!$F$16)-2</f>
        <v>19</v>
      </c>
      <c r="G85" s="109">
        <f>('[1]Pool-gardien'!$G$16)</f>
        <v>4</v>
      </c>
      <c r="H85" s="109">
        <f>('[1]Pool-gardien'!$H$16)</f>
        <v>6</v>
      </c>
      <c r="I85" s="109">
        <f>('[1]Pool-gardien'!$I$16)</f>
        <v>0</v>
      </c>
      <c r="J85" s="109">
        <f>('[1]Pool-gardien'!$J$16)</f>
        <v>1</v>
      </c>
      <c r="K85" s="43">
        <f t="shared" si="12"/>
        <v>67</v>
      </c>
      <c r="M85" s="2"/>
      <c r="U85" s="161"/>
    </row>
    <row r="86" spans="2:21" ht="15" customHeight="1">
      <c r="B86" s="108">
        <f>'[1]Pool-gardien'!$B$25</f>
        <v>23.328767123287673</v>
      </c>
      <c r="C86" s="108" t="str">
        <f>'[1]Pool-gardien'!$C$25</f>
        <v>Tor</v>
      </c>
      <c r="D86" s="110" t="str">
        <f>'[1]Pool-gardien'!$D$25</f>
        <v>Martin Gerber</v>
      </c>
      <c r="E86" s="108">
        <f>'[1]Pool-gardien'!$E$25</f>
        <v>17</v>
      </c>
      <c r="F86" s="108">
        <f>'[1]Pool-gardien'!$F$25</f>
        <v>6</v>
      </c>
      <c r="G86" s="108">
        <f>'[1]Pool-gardien'!$G$25</f>
        <v>1</v>
      </c>
      <c r="H86" s="108">
        <f>'[1]Pool-gardien'!$H$25</f>
        <v>1</v>
      </c>
      <c r="I86" s="108">
        <f>'[1]Pool-gardien'!$I$25</f>
        <v>0</v>
      </c>
      <c r="J86" s="108">
        <f>'[1]Pool-gardien'!$J$25</f>
        <v>1</v>
      </c>
      <c r="K86" s="14">
        <f t="shared" si="12"/>
        <v>18</v>
      </c>
      <c r="M86" s="2"/>
      <c r="U86" s="161"/>
    </row>
    <row r="87" spans="2:21" ht="15" customHeight="1">
      <c r="B87" s="108">
        <f>'[1]Pool-gardien'!$B$37</f>
        <v>32.97534246575343</v>
      </c>
      <c r="C87" s="108" t="str">
        <f>'[1]Pool-gardien'!$C$37</f>
        <v>Det</v>
      </c>
      <c r="D87" s="110" t="str">
        <f>'[1]Pool-gardien'!$D$37</f>
        <v>Ty Conklin</v>
      </c>
      <c r="E87" s="108">
        <f>('[1]Pool-gardien'!$E$37)-18</f>
        <v>18</v>
      </c>
      <c r="F87" s="108">
        <f>('[1]Pool-gardien'!$F$37)-12</f>
        <v>12</v>
      </c>
      <c r="G87" s="108">
        <f>('[1]Pool-gardien'!$G$37)-1</f>
        <v>1</v>
      </c>
      <c r="H87" s="108">
        <f>('[1]Pool-gardien'!$H$37)-4</f>
        <v>2</v>
      </c>
      <c r="I87" s="108">
        <f>('[1]Pool-gardien'!$I$37)</f>
        <v>0</v>
      </c>
      <c r="J87" s="108">
        <f>('[1]Pool-gardien'!$J$37)</f>
        <v>0</v>
      </c>
      <c r="K87" s="14">
        <f t="shared" si="12"/>
        <v>33</v>
      </c>
      <c r="M87" s="2"/>
      <c r="U87" s="161"/>
    </row>
    <row r="88" spans="2:21" ht="15" customHeight="1">
      <c r="B88" s="108">
        <f>'[1]Pool-gardien'!$B$75</f>
        <v>27.83013698630137</v>
      </c>
      <c r="C88" s="108" t="str">
        <f>'[1]Pool-gardien'!$C$75</f>
        <v>Fla</v>
      </c>
      <c r="D88" s="110" t="str">
        <f>'[1]Pool-gardien'!$D$75</f>
        <v>Craig Anderson</v>
      </c>
      <c r="E88" s="108">
        <f>('[1]Pool-gardien'!$E$75)-13</f>
        <v>14</v>
      </c>
      <c r="F88" s="108">
        <f>('[1]Pool-gardien'!$F$75)-6</f>
        <v>6</v>
      </c>
      <c r="G88" s="108">
        <f>('[1]Pool-gardien'!$G$75)-3</f>
        <v>2</v>
      </c>
      <c r="H88" s="108">
        <f>('[1]Pool-gardien'!$H$75)-2</f>
        <v>1</v>
      </c>
      <c r="I88" s="108">
        <f>('[1]Pool-gardien'!$I$75)-0</f>
        <v>0</v>
      </c>
      <c r="J88" s="108">
        <f>('[1]Pool-gardien'!$J$75)-0</f>
        <v>1</v>
      </c>
      <c r="K88" s="14">
        <f t="shared" si="12"/>
        <v>19</v>
      </c>
      <c r="M88" s="2"/>
      <c r="U88" s="161"/>
    </row>
    <row r="89" spans="2:21" ht="15" customHeight="1">
      <c r="B89" s="108">
        <f>'[1]Pool-gardien'!$B$128</f>
        <v>31.660273972602738</v>
      </c>
      <c r="C89" s="108" t="str">
        <f>'[1]Pool-gardien'!$C$128</f>
        <v>N.J.</v>
      </c>
      <c r="D89" s="110" t="str">
        <f>'[1]Pool-gardien'!$D$128</f>
        <v>Scott Clemmensen</v>
      </c>
      <c r="E89" s="108">
        <f>(('[1]Pool-gardien'!$E$128)-10)-30</f>
        <v>0</v>
      </c>
      <c r="F89" s="108">
        <f>(('[1]Pool-gardien'!$F$128)-6)-19</f>
        <v>0</v>
      </c>
      <c r="G89" s="108">
        <f>(('[1]Pool-gardien'!$G$128)-0)-1</f>
        <v>0</v>
      </c>
      <c r="H89" s="108">
        <f>(('[1]Pool-gardien'!$H$128)-0)-2</f>
        <v>0</v>
      </c>
      <c r="I89" s="108">
        <f>(('[1]Pool-gardien'!$I$128)-0)-0</f>
        <v>0</v>
      </c>
      <c r="J89" s="108">
        <f>(('[1]Pool-gardien'!$J$128)-0)-0</f>
        <v>0</v>
      </c>
      <c r="K89" s="14">
        <f t="shared" si="12"/>
        <v>0</v>
      </c>
      <c r="M89" s="2"/>
      <c r="U89" s="161"/>
    </row>
    <row r="90" spans="2:21" ht="15" customHeight="1">
      <c r="B90" s="180">
        <f>'[1]Pool-gardien'!$B$22</f>
        <v>36.31780821917808</v>
      </c>
      <c r="C90" s="180" t="str">
        <f>'[1]Pool-gardien'!$C$22</f>
        <v>Det</v>
      </c>
      <c r="D90" s="181" t="str">
        <f>'[1]Pool-gardien'!$D$22</f>
        <v>Chris Osgood</v>
      </c>
      <c r="E90" s="180">
        <v>15</v>
      </c>
      <c r="F90" s="180">
        <v>8</v>
      </c>
      <c r="G90" s="180">
        <v>3</v>
      </c>
      <c r="H90" s="180">
        <v>1</v>
      </c>
      <c r="I90" s="180">
        <v>0</v>
      </c>
      <c r="J90" s="180">
        <v>1</v>
      </c>
      <c r="K90" s="201">
        <f t="shared" si="12"/>
        <v>24</v>
      </c>
      <c r="M90" s="2"/>
      <c r="U90" s="161"/>
    </row>
    <row r="91" spans="2:21" ht="13.5" thickBot="1">
      <c r="B91" s="106"/>
      <c r="C91" s="106"/>
      <c r="D91" s="126"/>
      <c r="E91" s="166"/>
      <c r="F91" s="166"/>
      <c r="G91" s="166"/>
      <c r="H91" s="166"/>
      <c r="I91" s="166"/>
      <c r="J91" s="166"/>
      <c r="K91" s="36">
        <f t="shared" si="12"/>
        <v>0</v>
      </c>
      <c r="M91" s="2"/>
      <c r="U91" s="161"/>
    </row>
    <row r="92" spans="2:21" ht="15" customHeight="1">
      <c r="B92" s="278" t="s">
        <v>7</v>
      </c>
      <c r="C92" s="281"/>
      <c r="D92" s="279"/>
      <c r="E92" s="22">
        <f aca="true" t="shared" si="13" ref="E92:J92">SUM(E84:E91)</f>
        <v>120</v>
      </c>
      <c r="F92" s="22">
        <f t="shared" si="13"/>
        <v>53</v>
      </c>
      <c r="G92" s="22">
        <f t="shared" si="13"/>
        <v>12</v>
      </c>
      <c r="H92" s="22">
        <f t="shared" si="13"/>
        <v>11</v>
      </c>
      <c r="I92" s="22">
        <f t="shared" si="13"/>
        <v>0</v>
      </c>
      <c r="J92" s="22">
        <f t="shared" si="13"/>
        <v>4</v>
      </c>
      <c r="K92" s="14">
        <f t="shared" si="12"/>
        <v>166</v>
      </c>
      <c r="M92" s="2"/>
      <c r="U92" s="161"/>
    </row>
    <row r="93" spans="13:21" ht="15" customHeight="1">
      <c r="M93" s="2"/>
      <c r="U93" s="161"/>
    </row>
    <row r="94" spans="2:21" ht="15" customHeight="1">
      <c r="B94" s="251" t="s">
        <v>23</v>
      </c>
      <c r="C94" s="252"/>
      <c r="D94" s="252"/>
      <c r="E94" s="252"/>
      <c r="F94" s="252"/>
      <c r="G94" s="252"/>
      <c r="H94" s="252"/>
      <c r="I94" s="253"/>
      <c r="M94" s="2"/>
      <c r="U94" s="161"/>
    </row>
    <row r="95" spans="2:21" ht="15" customHeight="1" thickBot="1">
      <c r="B95" s="54" t="s">
        <v>15</v>
      </c>
      <c r="C95" s="54" t="s">
        <v>29</v>
      </c>
      <c r="D95" s="54" t="s">
        <v>17</v>
      </c>
      <c r="E95" s="54" t="s">
        <v>2</v>
      </c>
      <c r="F95" s="54" t="s">
        <v>21</v>
      </c>
      <c r="G95" s="54" t="s">
        <v>30</v>
      </c>
      <c r="H95" s="54" t="s">
        <v>6</v>
      </c>
      <c r="I95" s="54" t="s">
        <v>11</v>
      </c>
      <c r="M95" s="2"/>
      <c r="U95" s="161"/>
    </row>
    <row r="96" spans="2:21" ht="15" customHeight="1" thickTop="1">
      <c r="B96" s="200">
        <f>'[1]POOL-joueus'!$B$102</f>
        <v>35.55068493150685</v>
      </c>
      <c r="C96" s="200" t="str">
        <f>'[1]POOL-joueus'!$C$102</f>
        <v>Tor</v>
      </c>
      <c r="D96" s="221" t="str">
        <f>'[1]POOL-joueus'!$D$102</f>
        <v>Jason Blake</v>
      </c>
      <c r="E96" s="200">
        <v>37</v>
      </c>
      <c r="F96" s="200">
        <v>15</v>
      </c>
      <c r="G96" s="200">
        <v>17</v>
      </c>
      <c r="H96" s="195">
        <f aca="true" t="shared" si="14" ref="H96:H105">SUM(F96:G96)</f>
        <v>32</v>
      </c>
      <c r="I96" s="240">
        <f aca="true" t="shared" si="15" ref="I96:I105">H96/E96</f>
        <v>0.8648648648648649</v>
      </c>
      <c r="M96" s="2"/>
      <c r="U96" s="161"/>
    </row>
    <row r="97" spans="2:21" ht="15" customHeight="1">
      <c r="B97" s="189">
        <f>'[1]POOL-joueus'!$B$248</f>
        <v>24.104109589041094</v>
      </c>
      <c r="C97" s="189" t="str">
        <f>'[1]POOL-joueus'!$C$248</f>
        <v>Nyr</v>
      </c>
      <c r="D97" s="190" t="str">
        <f>'[1]POOL-joueus'!$D$248</f>
        <v>Nigel Dawes</v>
      </c>
      <c r="E97" s="189">
        <v>3</v>
      </c>
      <c r="F97" s="189">
        <v>0</v>
      </c>
      <c r="G97" s="189">
        <v>0</v>
      </c>
      <c r="H97" s="139">
        <f t="shared" si="14"/>
        <v>0</v>
      </c>
      <c r="I97" s="182">
        <f t="shared" si="15"/>
        <v>0</v>
      </c>
      <c r="M97" s="2"/>
      <c r="U97" s="161"/>
    </row>
    <row r="98" spans="2:21" ht="15" customHeight="1">
      <c r="B98" s="107">
        <f>'[1]POOL-joueus'!$B$239</f>
        <v>27.93972602739726</v>
      </c>
      <c r="C98" s="107" t="str">
        <f>'[1]POOL-joueus'!$C$239</f>
        <v>Van</v>
      </c>
      <c r="D98" s="124" t="str">
        <f>'[1]POOL-joueus'!$D$239</f>
        <v>Alexandre Burrows</v>
      </c>
      <c r="E98" s="219">
        <f>(('[1]POOL-joueus'!$E$239)-15)-9</f>
        <v>42</v>
      </c>
      <c r="F98" s="219">
        <f>(('[1]POOL-joueus'!$F$239)-4)-2</f>
        <v>14</v>
      </c>
      <c r="G98" s="219">
        <f>(('[1]POOL-joueus'!$G$239)-6)-1</f>
        <v>10</v>
      </c>
      <c r="H98" s="22">
        <f>SUM(F98:G98)</f>
        <v>24</v>
      </c>
      <c r="I98" s="23">
        <f>H98/E98</f>
        <v>0.5714285714285714</v>
      </c>
      <c r="M98" s="2"/>
      <c r="U98" s="161"/>
    </row>
    <row r="99" spans="2:21" ht="15" customHeight="1">
      <c r="B99" s="185">
        <f>'[1]POOL-joueus'!$B$39</f>
        <v>34.09041095890411</v>
      </c>
      <c r="C99" s="185" t="str">
        <f>'[1]POOL-joueus'!$C$39</f>
        <v>T.B.</v>
      </c>
      <c r="D99" s="186" t="str">
        <f>'[1]POOL-joueus'!$D$39</f>
        <v>Vaclav Prospal</v>
      </c>
      <c r="E99" s="185">
        <v>19</v>
      </c>
      <c r="F99" s="185">
        <v>7</v>
      </c>
      <c r="G99" s="185">
        <v>9</v>
      </c>
      <c r="H99" s="139">
        <f>SUM(F99:G99)</f>
        <v>16</v>
      </c>
      <c r="I99" s="182">
        <f>H99/E99</f>
        <v>0.8421052631578947</v>
      </c>
      <c r="M99" s="2"/>
      <c r="U99" s="161"/>
    </row>
    <row r="100" spans="2:21" ht="15" customHeight="1">
      <c r="B100" s="107"/>
      <c r="C100" s="107"/>
      <c r="D100" s="124"/>
      <c r="E100" s="107"/>
      <c r="F100" s="107"/>
      <c r="G100" s="107"/>
      <c r="H100" s="22">
        <f>SUM(F100:G100)</f>
        <v>0</v>
      </c>
      <c r="I100" s="23" t="e">
        <f>H100/E100</f>
        <v>#DIV/0!</v>
      </c>
      <c r="M100" s="2"/>
      <c r="U100" s="161"/>
    </row>
    <row r="101" spans="2:21" ht="15" customHeight="1">
      <c r="B101" s="109">
        <f>'[1]POOL-joueus'!$B$240</f>
        <v>27.457534246575342</v>
      </c>
      <c r="C101" s="109" t="str">
        <f>'[1]POOL-joueus'!$C$240</f>
        <v>L.A.</v>
      </c>
      <c r="D101" s="111" t="str">
        <f>'[1]POOL-joueus'!$D$240</f>
        <v>Justin Williams</v>
      </c>
      <c r="E101" s="109">
        <f>'[1]POOL-joueus'!$E$240</f>
        <v>33</v>
      </c>
      <c r="F101" s="109">
        <f>'[1]POOL-joueus'!$F$240</f>
        <v>3</v>
      </c>
      <c r="G101" s="109">
        <f>'[1]POOL-joueus'!$G$240</f>
        <v>7</v>
      </c>
      <c r="H101" s="22">
        <f t="shared" si="14"/>
        <v>10</v>
      </c>
      <c r="I101" s="23">
        <f t="shared" si="15"/>
        <v>0.30303030303030304</v>
      </c>
      <c r="J101" s="1" t="s">
        <v>234</v>
      </c>
      <c r="M101" s="2"/>
      <c r="U101" s="161"/>
    </row>
    <row r="102" spans="2:21" ht="15" customHeight="1">
      <c r="B102" s="185">
        <f>'[1]POOL-joueus'!$B$51</f>
        <v>35.25205479452055</v>
      </c>
      <c r="C102" s="185" t="str">
        <f>'[1]POOL-joueus'!$C$51</f>
        <v>Fla</v>
      </c>
      <c r="D102" s="186" t="str">
        <f>'[1]POOL-joueus'!$D$51</f>
        <v>Cory Stillman</v>
      </c>
      <c r="E102" s="185">
        <v>5</v>
      </c>
      <c r="F102" s="185">
        <v>3</v>
      </c>
      <c r="G102" s="185">
        <v>1</v>
      </c>
      <c r="H102" s="139">
        <f t="shared" si="14"/>
        <v>4</v>
      </c>
      <c r="I102" s="182">
        <f t="shared" si="15"/>
        <v>0.8</v>
      </c>
      <c r="M102" s="2"/>
      <c r="U102" s="161"/>
    </row>
    <row r="103" spans="1:21" ht="15" customHeight="1">
      <c r="A103" s="142"/>
      <c r="B103" s="108">
        <f>'[1]POOL-joueus'!$B$174</f>
        <v>28.67945205479452</v>
      </c>
      <c r="C103" s="108" t="str">
        <f>'[1]POOL-joueus'!$C$174</f>
        <v>S.J.</v>
      </c>
      <c r="D103" s="110" t="str">
        <f>'[1]POOL-joueus'!$D$174</f>
        <v>Jonathan Cheechoo</v>
      </c>
      <c r="E103" s="108">
        <f>('[1]POOL-joueus'!$E$174)-47</f>
        <v>7</v>
      </c>
      <c r="F103" s="108">
        <f>('[1]POOL-joueus'!$F$174)-9</f>
        <v>0</v>
      </c>
      <c r="G103" s="108">
        <f>('[1]POOL-joueus'!$G$174)-10</f>
        <v>3</v>
      </c>
      <c r="H103" s="22">
        <f t="shared" si="14"/>
        <v>3</v>
      </c>
      <c r="I103" s="23">
        <f t="shared" si="15"/>
        <v>0.42857142857142855</v>
      </c>
      <c r="M103" s="2"/>
      <c r="U103" s="161"/>
    </row>
    <row r="104" spans="2:21" ht="15" customHeight="1" thickBot="1">
      <c r="B104" s="107"/>
      <c r="C104" s="107"/>
      <c r="D104" s="124"/>
      <c r="E104" s="123"/>
      <c r="F104" s="123"/>
      <c r="G104" s="123"/>
      <c r="H104" s="40">
        <f t="shared" si="14"/>
        <v>0</v>
      </c>
      <c r="I104" s="41" t="e">
        <f t="shared" si="15"/>
        <v>#DIV/0!</v>
      </c>
      <c r="M104" s="2"/>
      <c r="U104" s="161"/>
    </row>
    <row r="105" spans="2:21" ht="15" customHeight="1">
      <c r="B105" s="278" t="s">
        <v>7</v>
      </c>
      <c r="C105" s="281"/>
      <c r="D105" s="279"/>
      <c r="E105" s="22">
        <f>SUM(E96:E104)</f>
        <v>146</v>
      </c>
      <c r="F105" s="22">
        <f>SUM(F96:F104)</f>
        <v>42</v>
      </c>
      <c r="G105" s="22">
        <f>SUM(G96:G104)</f>
        <v>47</v>
      </c>
      <c r="H105" s="22">
        <f t="shared" si="14"/>
        <v>89</v>
      </c>
      <c r="I105" s="23">
        <f t="shared" si="15"/>
        <v>0.6095890410958904</v>
      </c>
      <c r="M105" s="2"/>
      <c r="U105" s="161"/>
    </row>
    <row r="106" spans="13:21" ht="12.75">
      <c r="M106" s="2"/>
      <c r="U106" s="161"/>
    </row>
    <row r="107" spans="2:21" ht="15" customHeight="1">
      <c r="B107" s="251" t="s">
        <v>24</v>
      </c>
      <c r="C107" s="252"/>
      <c r="D107" s="252"/>
      <c r="E107" s="252"/>
      <c r="F107" s="252"/>
      <c r="G107" s="252"/>
      <c r="H107" s="252"/>
      <c r="I107" s="253"/>
      <c r="M107" s="2"/>
      <c r="U107" s="161"/>
    </row>
    <row r="108" spans="2:21" ht="15" customHeight="1" thickBot="1">
      <c r="B108" s="54" t="s">
        <v>15</v>
      </c>
      <c r="C108" s="54" t="s">
        <v>29</v>
      </c>
      <c r="D108" s="54" t="s">
        <v>17</v>
      </c>
      <c r="E108" s="54" t="s">
        <v>2</v>
      </c>
      <c r="F108" s="54" t="s">
        <v>21</v>
      </c>
      <c r="G108" s="54" t="s">
        <v>30</v>
      </c>
      <c r="H108" s="54" t="s">
        <v>6</v>
      </c>
      <c r="I108" s="54" t="s">
        <v>11</v>
      </c>
      <c r="M108" s="2"/>
      <c r="U108" s="161"/>
    </row>
    <row r="109" spans="2:21" ht="15" customHeight="1" thickTop="1">
      <c r="B109" s="108">
        <f>'[1]POOL-joueus'!$B$120</f>
        <v>28.78904109589041</v>
      </c>
      <c r="C109" s="108" t="str">
        <f>'[1]POOL-joueus'!$C$120</f>
        <v>Ott</v>
      </c>
      <c r="D109" s="110" t="str">
        <f>'[1]POOL-joueus'!$D$120</f>
        <v>Mike Fisher</v>
      </c>
      <c r="E109" s="108">
        <f>'[1]POOL-joueus'!$E$120</f>
        <v>63</v>
      </c>
      <c r="F109" s="108">
        <f>'[1]POOL-joueus'!$F$120</f>
        <v>11</v>
      </c>
      <c r="G109" s="108">
        <f>'[1]POOL-joueus'!$G$120</f>
        <v>16</v>
      </c>
      <c r="H109" s="22">
        <f aca="true" t="shared" si="16" ref="H109:H116">SUM(F109:G109)</f>
        <v>27</v>
      </c>
      <c r="I109" s="23">
        <f aca="true" t="shared" si="17" ref="I109:I116">H109/E109</f>
        <v>0.42857142857142855</v>
      </c>
      <c r="M109" s="2"/>
      <c r="U109" s="161"/>
    </row>
    <row r="110" spans="2:21" ht="15" customHeight="1">
      <c r="B110" s="185">
        <f>'[1]POOL-joueus'!$B$25</f>
        <v>38.104109589041094</v>
      </c>
      <c r="C110" s="185" t="str">
        <f>'[1]POOL-joueus'!$C$25</f>
        <v>Van</v>
      </c>
      <c r="D110" s="186" t="str">
        <f>'[1]POOL-joueus'!$D$25</f>
        <v>Mats Sundin</v>
      </c>
      <c r="E110" s="185">
        <v>14</v>
      </c>
      <c r="F110" s="185">
        <v>6</v>
      </c>
      <c r="G110" s="185">
        <v>5</v>
      </c>
      <c r="H110" s="139">
        <f t="shared" si="16"/>
        <v>11</v>
      </c>
      <c r="I110" s="182">
        <f t="shared" si="17"/>
        <v>0.7857142857142857</v>
      </c>
      <c r="L110" s="127"/>
      <c r="M110" s="2"/>
      <c r="U110" s="161"/>
    </row>
    <row r="111" spans="2:21" ht="15" customHeight="1">
      <c r="B111" s="107">
        <f>'[1]POOL-joueus'!$B$59</f>
        <v>28.882191780821916</v>
      </c>
      <c r="C111" s="107" t="str">
        <f>'[1]POOL-joueus'!$C$59</f>
        <v>Dal</v>
      </c>
      <c r="D111" s="124" t="str">
        <f>'[1]POOL-joueus'!$D$59</f>
        <v>Brad Richards</v>
      </c>
      <c r="E111" s="107">
        <f>('[1]POOL-joueus'!$E$59)-55</f>
        <v>0</v>
      </c>
      <c r="F111" s="107">
        <f>('[1]POOL-joueus'!$F$59)-16</f>
        <v>0</v>
      </c>
      <c r="G111" s="107">
        <f>('[1]POOL-joueus'!$G$59)-32</f>
        <v>0</v>
      </c>
      <c r="H111" s="22">
        <f>SUM(F111:G111)</f>
        <v>0</v>
      </c>
      <c r="I111" s="23" t="e">
        <f>H111/E111</f>
        <v>#DIV/0!</v>
      </c>
      <c r="J111" s="1" t="s">
        <v>234</v>
      </c>
      <c r="L111" s="128"/>
      <c r="M111" s="2"/>
      <c r="U111" s="161"/>
    </row>
    <row r="112" spans="2:21" ht="15" customHeight="1">
      <c r="B112" s="109"/>
      <c r="C112" s="109"/>
      <c r="D112" s="111"/>
      <c r="E112" s="109"/>
      <c r="F112" s="109"/>
      <c r="G112" s="109"/>
      <c r="H112" s="22">
        <f t="shared" si="16"/>
        <v>0</v>
      </c>
      <c r="I112" s="23" t="e">
        <f t="shared" si="17"/>
        <v>#DIV/0!</v>
      </c>
      <c r="L112" s="128"/>
      <c r="M112" s="2"/>
      <c r="U112" s="161"/>
    </row>
    <row r="113" spans="2:21" ht="15" customHeight="1">
      <c r="B113" s="107"/>
      <c r="C113" s="107"/>
      <c r="D113" s="124"/>
      <c r="E113" s="106"/>
      <c r="F113" s="106"/>
      <c r="G113" s="106"/>
      <c r="H113" s="22">
        <f t="shared" si="16"/>
        <v>0</v>
      </c>
      <c r="I113" s="23" t="e">
        <f t="shared" si="17"/>
        <v>#DIV/0!</v>
      </c>
      <c r="L113" s="128"/>
      <c r="M113" s="2"/>
      <c r="U113" s="161"/>
    </row>
    <row r="114" spans="2:21" ht="15" customHeight="1">
      <c r="B114" s="109"/>
      <c r="C114" s="109"/>
      <c r="D114" s="111"/>
      <c r="E114" s="109"/>
      <c r="F114" s="109"/>
      <c r="G114" s="109"/>
      <c r="H114" s="22">
        <f>SUM(F114:G114)</f>
        <v>0</v>
      </c>
      <c r="I114" s="23" t="e">
        <f>H114/E114</f>
        <v>#DIV/0!</v>
      </c>
      <c r="J114" s="142"/>
      <c r="L114" s="128"/>
      <c r="M114" s="2"/>
      <c r="U114" s="161"/>
    </row>
    <row r="115" spans="2:21" ht="15" customHeight="1" thickBot="1">
      <c r="B115" s="109"/>
      <c r="C115" s="109"/>
      <c r="D115" s="111"/>
      <c r="E115" s="137"/>
      <c r="F115" s="137"/>
      <c r="G115" s="137"/>
      <c r="H115" s="40">
        <f t="shared" si="16"/>
        <v>0</v>
      </c>
      <c r="I115" s="41" t="e">
        <f t="shared" si="17"/>
        <v>#DIV/0!</v>
      </c>
      <c r="M115" s="2"/>
      <c r="U115" s="161"/>
    </row>
    <row r="116" spans="2:21" ht="15" customHeight="1">
      <c r="B116" s="278" t="s">
        <v>7</v>
      </c>
      <c r="C116" s="281"/>
      <c r="D116" s="279"/>
      <c r="E116" s="22">
        <f>SUM(E109:E115)</f>
        <v>77</v>
      </c>
      <c r="F116" s="22">
        <f>SUM(F109:F115)</f>
        <v>17</v>
      </c>
      <c r="G116" s="22">
        <f>SUM(G109:G115)</f>
        <v>21</v>
      </c>
      <c r="H116" s="22">
        <f t="shared" si="16"/>
        <v>38</v>
      </c>
      <c r="I116" s="23">
        <f t="shared" si="17"/>
        <v>0.4935064935064935</v>
      </c>
      <c r="M116" s="2"/>
      <c r="U116" s="161"/>
    </row>
    <row r="117" spans="13:21" ht="15" customHeight="1">
      <c r="M117" s="2"/>
      <c r="U117" s="161"/>
    </row>
    <row r="118" spans="2:21" ht="15" customHeight="1">
      <c r="B118" s="251" t="s">
        <v>25</v>
      </c>
      <c r="C118" s="252"/>
      <c r="D118" s="252"/>
      <c r="E118" s="252"/>
      <c r="F118" s="252"/>
      <c r="G118" s="252"/>
      <c r="H118" s="252"/>
      <c r="I118" s="253"/>
      <c r="M118" s="2"/>
      <c r="U118" s="161"/>
    </row>
    <row r="119" spans="2:21" ht="15" customHeight="1" thickBot="1">
      <c r="B119" s="54" t="s">
        <v>15</v>
      </c>
      <c r="C119" s="54" t="s">
        <v>29</v>
      </c>
      <c r="D119" s="54" t="s">
        <v>17</v>
      </c>
      <c r="E119" s="54" t="s">
        <v>2</v>
      </c>
      <c r="F119" s="54" t="s">
        <v>21</v>
      </c>
      <c r="G119" s="54" t="s">
        <v>30</v>
      </c>
      <c r="H119" s="54" t="s">
        <v>6</v>
      </c>
      <c r="I119" s="54" t="s">
        <v>11</v>
      </c>
      <c r="M119" s="2"/>
      <c r="U119" s="161"/>
    </row>
    <row r="120" spans="2:21" ht="15" customHeight="1" thickTop="1">
      <c r="B120" s="108">
        <f>'[1]POOL-joueus'!$B$234</f>
        <v>24.515068493150686</v>
      </c>
      <c r="C120" s="108" t="str">
        <f>'[1]POOL-joueus'!$C$234</f>
        <v>T.B.</v>
      </c>
      <c r="D120" s="110" t="str">
        <f>'[1]POOL-joueus'!$D$234</f>
        <v>Paul Ranger</v>
      </c>
      <c r="E120" s="109">
        <f>('[1]POOL-joueus'!$E$234)-39</f>
        <v>3</v>
      </c>
      <c r="F120" s="109">
        <f>('[1]POOL-joueus'!$F$234)-2</f>
        <v>0</v>
      </c>
      <c r="G120" s="109">
        <f>('[1]POOL-joueus'!$G$234)-10</f>
        <v>1</v>
      </c>
      <c r="H120" s="22">
        <f aca="true" t="shared" si="18" ref="H120:H125">SUM(F120:G120)</f>
        <v>1</v>
      </c>
      <c r="I120" s="23">
        <f aca="true" t="shared" si="19" ref="I120:I125">H120/E120</f>
        <v>0.3333333333333333</v>
      </c>
      <c r="M120" s="2"/>
      <c r="U120" s="161"/>
    </row>
    <row r="121" spans="2:21" ht="15" customHeight="1">
      <c r="B121" s="185">
        <f>'[1]POOL-joueus'!$B$291</f>
        <v>30.295890410958904</v>
      </c>
      <c r="C121" s="185" t="str">
        <f>'[1]POOL-joueus'!$C$291</f>
        <v>L.A.</v>
      </c>
      <c r="D121" s="186" t="str">
        <f>'[1]POOL-joueus'!$D$291</f>
        <v>Tom Preissing</v>
      </c>
      <c r="E121" s="189">
        <v>9</v>
      </c>
      <c r="F121" s="189">
        <v>3</v>
      </c>
      <c r="G121" s="189">
        <v>3</v>
      </c>
      <c r="H121" s="139">
        <f t="shared" si="18"/>
        <v>6</v>
      </c>
      <c r="I121" s="182">
        <f t="shared" si="19"/>
        <v>0.6666666666666666</v>
      </c>
      <c r="M121" s="2"/>
      <c r="U121" s="161"/>
    </row>
    <row r="122" spans="2:21" ht="15" customHeight="1">
      <c r="B122" s="180">
        <f>'[1]POOL-joueus'!$B$347</f>
        <v>31.03287671232877</v>
      </c>
      <c r="C122" s="180" t="str">
        <f>'[1]POOL-joueus'!$C$347</f>
        <v>Ott</v>
      </c>
      <c r="D122" s="181" t="str">
        <f>'[1]POOL-joueus'!$D$347</f>
        <v>Chris Phillips</v>
      </c>
      <c r="E122" s="180">
        <v>24</v>
      </c>
      <c r="F122" s="180">
        <v>0</v>
      </c>
      <c r="G122" s="180">
        <v>2</v>
      </c>
      <c r="H122" s="139">
        <f t="shared" si="18"/>
        <v>2</v>
      </c>
      <c r="I122" s="182">
        <f t="shared" si="19"/>
        <v>0.08333333333333333</v>
      </c>
      <c r="M122" s="2"/>
      <c r="U122" s="161"/>
    </row>
    <row r="123" spans="2:21" ht="15" customHeight="1">
      <c r="B123" s="107">
        <f>'[1]POOL-joueus'!$B$441</f>
        <v>29.852054794520548</v>
      </c>
      <c r="C123" s="107" t="str">
        <f>'[1]POOL-joueus'!$C$441</f>
        <v>Tor</v>
      </c>
      <c r="D123" s="124" t="str">
        <f>'[1]POOL-joueus'!$D$441</f>
        <v>Mike Van Ryn</v>
      </c>
      <c r="E123" s="107">
        <f>('[1]POOL-joueus'!$E$441)-17</f>
        <v>10</v>
      </c>
      <c r="F123" s="107">
        <f>('[1]POOL-joueus'!$F$441)-3</f>
        <v>0</v>
      </c>
      <c r="G123" s="107">
        <f>('[1]POOL-joueus'!$G$441)-6</f>
        <v>2</v>
      </c>
      <c r="H123" s="22">
        <f t="shared" si="18"/>
        <v>2</v>
      </c>
      <c r="I123" s="23">
        <f t="shared" si="19"/>
        <v>0.2</v>
      </c>
      <c r="J123" s="1" t="s">
        <v>234</v>
      </c>
      <c r="M123" s="2"/>
      <c r="U123" s="161"/>
    </row>
    <row r="124" spans="2:21" ht="15" customHeight="1" thickBot="1">
      <c r="B124" s="107"/>
      <c r="C124" s="107"/>
      <c r="D124" s="124"/>
      <c r="E124" s="166"/>
      <c r="F124" s="166"/>
      <c r="G124" s="166"/>
      <c r="H124" s="40">
        <f t="shared" si="18"/>
        <v>0</v>
      </c>
      <c r="I124" s="41" t="e">
        <f t="shared" si="19"/>
        <v>#DIV/0!</v>
      </c>
      <c r="M124" s="2"/>
      <c r="U124" s="161"/>
    </row>
    <row r="125" spans="2:21" ht="15" customHeight="1">
      <c r="B125" s="278" t="s">
        <v>7</v>
      </c>
      <c r="C125" s="281"/>
      <c r="D125" s="279"/>
      <c r="E125" s="22">
        <f>SUM(E120:E124)</f>
        <v>46</v>
      </c>
      <c r="F125" s="22">
        <f>SUM(F120:F124)</f>
        <v>3</v>
      </c>
      <c r="G125" s="22">
        <f>SUM(G120:G124)</f>
        <v>8</v>
      </c>
      <c r="H125" s="22">
        <f t="shared" si="18"/>
        <v>11</v>
      </c>
      <c r="I125" s="23">
        <f t="shared" si="19"/>
        <v>0.2391304347826087</v>
      </c>
      <c r="M125" s="2"/>
      <c r="U125" s="161"/>
    </row>
    <row r="126" spans="13:21" ht="15" customHeight="1">
      <c r="M126" s="2"/>
      <c r="U126" s="161"/>
    </row>
    <row r="127" spans="2:21" ht="15" customHeight="1">
      <c r="B127" s="251" t="s">
        <v>141</v>
      </c>
      <c r="C127" s="252"/>
      <c r="D127" s="252"/>
      <c r="E127" s="252"/>
      <c r="F127" s="252"/>
      <c r="G127" s="252"/>
      <c r="H127" s="252"/>
      <c r="I127" s="252"/>
      <c r="J127" s="252"/>
      <c r="K127" s="253"/>
      <c r="M127" s="2"/>
      <c r="U127" s="161"/>
    </row>
    <row r="128" spans="2:21" ht="15" customHeight="1" thickBot="1">
      <c r="B128" s="54" t="s">
        <v>15</v>
      </c>
      <c r="C128" s="54" t="s">
        <v>16</v>
      </c>
      <c r="D128" s="54" t="s">
        <v>17</v>
      </c>
      <c r="E128" s="54" t="s">
        <v>2</v>
      </c>
      <c r="F128" s="54" t="s">
        <v>18</v>
      </c>
      <c r="G128" s="54" t="s">
        <v>19</v>
      </c>
      <c r="H128" s="54" t="s">
        <v>20</v>
      </c>
      <c r="I128" s="54" t="s">
        <v>21</v>
      </c>
      <c r="J128" s="54" t="s">
        <v>22</v>
      </c>
      <c r="K128" s="54" t="s">
        <v>6</v>
      </c>
      <c r="M128" s="2"/>
      <c r="U128" s="161"/>
    </row>
    <row r="129" spans="2:21" ht="15" customHeight="1" thickTop="1">
      <c r="B129" s="121">
        <f>'[1]Pool-gardien'!$B$62</f>
        <v>20.610958904109587</v>
      </c>
      <c r="C129" s="121" t="str">
        <f>'[1]Pool-gardien'!$C$62</f>
        <v>L.A.</v>
      </c>
      <c r="D129" s="122" t="str">
        <f>'[1]Pool-gardien'!$D$62</f>
        <v>Jonathan Bernier</v>
      </c>
      <c r="E129" s="121">
        <f>'[1]Pool-gardien'!$E$62</f>
        <v>0</v>
      </c>
      <c r="F129" s="121">
        <f>'[1]Pool-gardien'!$F$62</f>
        <v>0</v>
      </c>
      <c r="G129" s="121">
        <f>'[1]Pool-gardien'!$G$62</f>
        <v>0</v>
      </c>
      <c r="H129" s="121">
        <f>'[1]Pool-gardien'!$H$62</f>
        <v>0</v>
      </c>
      <c r="I129" s="121">
        <f>'[1]Pool-gardien'!$I$62</f>
        <v>0</v>
      </c>
      <c r="J129" s="121">
        <f>'[1]Pool-gardien'!$J$62</f>
        <v>0</v>
      </c>
      <c r="K129" s="43">
        <f>(F129*2)+G129+(H129*4)+(I129*10)+J129</f>
        <v>0</v>
      </c>
      <c r="L129" s="81"/>
      <c r="M129" s="2"/>
      <c r="U129" s="161"/>
    </row>
    <row r="130" spans="2:21" ht="15" customHeight="1" thickBot="1">
      <c r="B130" s="180">
        <f>'[1]Pool-gardien'!$B$51</f>
        <v>23.194520547945206</v>
      </c>
      <c r="C130" s="180" t="str">
        <f>'[1]Pool-gardien'!$C$51</f>
        <v>T.B.</v>
      </c>
      <c r="D130" s="181" t="str">
        <f>'[1]Pool-gardien'!$D$51</f>
        <v>Kami Ramo</v>
      </c>
      <c r="E130" s="196">
        <v>1</v>
      </c>
      <c r="F130" s="196">
        <v>0</v>
      </c>
      <c r="G130" s="196">
        <v>0</v>
      </c>
      <c r="H130" s="196">
        <v>0</v>
      </c>
      <c r="I130" s="196">
        <v>0</v>
      </c>
      <c r="J130" s="196">
        <v>0</v>
      </c>
      <c r="K130" s="210">
        <f>(F130*2)+G130+(H130*4)+(I130*10)+J130</f>
        <v>0</v>
      </c>
      <c r="M130" s="2"/>
      <c r="U130" s="161"/>
    </row>
    <row r="131" spans="2:21" ht="15" customHeight="1">
      <c r="B131" s="274" t="s">
        <v>26</v>
      </c>
      <c r="C131" s="275"/>
      <c r="D131" s="255"/>
      <c r="E131" s="14">
        <f aca="true" t="shared" si="20" ref="E131:J131">SUM(E128:E130)</f>
        <v>1</v>
      </c>
      <c r="F131" s="14">
        <f t="shared" si="20"/>
        <v>0</v>
      </c>
      <c r="G131" s="14">
        <f t="shared" si="20"/>
        <v>0</v>
      </c>
      <c r="H131" s="14">
        <f t="shared" si="20"/>
        <v>0</v>
      </c>
      <c r="I131" s="14">
        <f t="shared" si="20"/>
        <v>0</v>
      </c>
      <c r="J131" s="14">
        <f t="shared" si="20"/>
        <v>0</v>
      </c>
      <c r="K131" s="14">
        <f>(F131*2)+G131+(H131*4)+(I131*10)+J131</f>
        <v>0</v>
      </c>
      <c r="M131" s="2"/>
      <c r="N131" s="81"/>
      <c r="O131" s="81"/>
      <c r="P131" s="81"/>
      <c r="Q131" s="81"/>
      <c r="R131" s="81"/>
      <c r="S131" s="81"/>
      <c r="U131" s="161"/>
    </row>
    <row r="132" spans="2:21" ht="15" customHeight="1">
      <c r="B132" s="251" t="s">
        <v>140</v>
      </c>
      <c r="C132" s="252"/>
      <c r="D132" s="252"/>
      <c r="E132" s="252"/>
      <c r="F132" s="252"/>
      <c r="G132" s="252"/>
      <c r="H132" s="252"/>
      <c r="I132" s="253"/>
      <c r="M132" s="2"/>
      <c r="U132" s="161"/>
    </row>
    <row r="133" spans="1:21" ht="15" customHeight="1" thickBot="1">
      <c r="A133" s="54" t="s">
        <v>143</v>
      </c>
      <c r="B133" s="54" t="s">
        <v>15</v>
      </c>
      <c r="C133" s="54" t="s">
        <v>29</v>
      </c>
      <c r="D133" s="54" t="s">
        <v>17</v>
      </c>
      <c r="E133" s="54" t="s">
        <v>2</v>
      </c>
      <c r="F133" s="54" t="s">
        <v>21</v>
      </c>
      <c r="G133" s="54" t="s">
        <v>30</v>
      </c>
      <c r="H133" s="54" t="s">
        <v>6</v>
      </c>
      <c r="I133" s="54" t="s">
        <v>11</v>
      </c>
      <c r="M133" s="2"/>
      <c r="N133" s="86" t="s">
        <v>82</v>
      </c>
      <c r="O133" s="86" t="s">
        <v>81</v>
      </c>
      <c r="U133" s="161"/>
    </row>
    <row r="134" spans="1:21" ht="15" customHeight="1" thickTop="1">
      <c r="A134" s="103" t="s">
        <v>235</v>
      </c>
      <c r="B134" s="107">
        <f>'[1]POOL-joueus'!$B$790</f>
        <v>24.5972602739726</v>
      </c>
      <c r="C134" s="107" t="str">
        <f>'[1]POOL-joueus'!$C$790</f>
        <v>Atl</v>
      </c>
      <c r="D134" s="124" t="str">
        <f>'[1]POOL-joueus'!$D$790</f>
        <v>Anssi Salmela</v>
      </c>
      <c r="E134" s="107">
        <f>'[1]POOL-joueus'!$E$790-2</f>
        <v>15</v>
      </c>
      <c r="F134" s="107">
        <f>'[1]POOL-joueus'!$F$790</f>
        <v>0</v>
      </c>
      <c r="G134" s="107">
        <f>'[1]POOL-joueus'!$G$790</f>
        <v>3</v>
      </c>
      <c r="H134" s="150">
        <f>SUM(F134:G134)</f>
        <v>3</v>
      </c>
      <c r="I134" s="29">
        <f aca="true" t="shared" si="21" ref="I134:I139">H134/E134</f>
        <v>0.2</v>
      </c>
      <c r="M134" s="2"/>
      <c r="N134" s="85" t="s">
        <v>71</v>
      </c>
      <c r="O134" s="87">
        <v>4</v>
      </c>
      <c r="U134" s="161"/>
    </row>
    <row r="135" spans="1:21" ht="15" customHeight="1" thickBot="1">
      <c r="A135" s="201" t="s">
        <v>145</v>
      </c>
      <c r="B135" s="185">
        <f>'[1]POOL-joueus'!$B$395</f>
        <v>22.005479452054793</v>
      </c>
      <c r="C135" s="185" t="str">
        <f>'[1]POOL-joueus'!$C$395</f>
        <v>Ana</v>
      </c>
      <c r="D135" s="186" t="str">
        <f>'[1]POOL-joueus'!$D$395</f>
        <v>Bobby Ryan</v>
      </c>
      <c r="E135" s="185">
        <v>5</v>
      </c>
      <c r="F135" s="185">
        <v>2</v>
      </c>
      <c r="G135" s="185">
        <v>2</v>
      </c>
      <c r="H135" s="139">
        <f>SUM(F135:G135)</f>
        <v>4</v>
      </c>
      <c r="I135" s="199">
        <f t="shared" si="21"/>
        <v>0.8</v>
      </c>
      <c r="M135" s="2"/>
      <c r="N135" s="83" t="s">
        <v>72</v>
      </c>
      <c r="O135" s="88">
        <v>5</v>
      </c>
      <c r="U135" s="161"/>
    </row>
    <row r="136" spans="1:21" ht="15" customHeight="1" thickTop="1">
      <c r="A136" s="14" t="s">
        <v>144</v>
      </c>
      <c r="B136" s="107">
        <f>'[1]POOL-joueus'!$B$439</f>
        <v>21.487671232876714</v>
      </c>
      <c r="C136" s="107" t="str">
        <f>'[1]POOL-joueus'!$C$439</f>
        <v>Cbj</v>
      </c>
      <c r="D136" s="124" t="str">
        <f>'[1]POOL-joueus'!$D$439</f>
        <v>Derick Brassard</v>
      </c>
      <c r="E136" s="107">
        <f>('[1]POOL-joueus'!$E$439)-23</f>
        <v>8</v>
      </c>
      <c r="F136" s="107">
        <f>('[1]POOL-joueus'!$F$439)-8</f>
        <v>2</v>
      </c>
      <c r="G136" s="107">
        <f>('[1]POOL-joueus'!$G$439)-11</f>
        <v>4</v>
      </c>
      <c r="H136" s="22">
        <f>SUM(F136:G136)</f>
        <v>6</v>
      </c>
      <c r="I136" s="29">
        <f t="shared" si="21"/>
        <v>0.75</v>
      </c>
      <c r="J136" s="1" t="s">
        <v>234</v>
      </c>
      <c r="M136" s="2"/>
      <c r="N136" s="91" t="s">
        <v>238</v>
      </c>
      <c r="O136" s="92">
        <f>SUM(O134:O135)</f>
        <v>9</v>
      </c>
      <c r="U136" s="161"/>
    </row>
    <row r="137" spans="1:21" ht="15" customHeight="1">
      <c r="A137" s="202" t="s">
        <v>235</v>
      </c>
      <c r="B137" s="185">
        <f>'[1]POOL-joueus'!$B$475</f>
        <v>18.673972602739727</v>
      </c>
      <c r="C137" s="185" t="str">
        <f>'[1]POOL-joueus'!$C$475</f>
        <v>Atl</v>
      </c>
      <c r="D137" s="186" t="str">
        <f>'[1]POOL-joueus'!$D$475</f>
        <v>Zach Bogosian</v>
      </c>
      <c r="E137" s="185">
        <v>4</v>
      </c>
      <c r="F137" s="185">
        <v>1</v>
      </c>
      <c r="G137" s="185">
        <v>1</v>
      </c>
      <c r="H137" s="139">
        <f>SUM(F137:G137)</f>
        <v>2</v>
      </c>
      <c r="I137" s="199">
        <f t="shared" si="21"/>
        <v>0.5</v>
      </c>
      <c r="M137" s="2"/>
      <c r="N137" s="84"/>
      <c r="O137" s="89"/>
      <c r="U137" s="161"/>
    </row>
    <row r="138" spans="1:21" ht="15" customHeight="1" thickBot="1">
      <c r="A138" s="14" t="s">
        <v>144</v>
      </c>
      <c r="B138" s="107">
        <f>'[1]POOL-joueus'!$B$625</f>
        <v>19.106849315068494</v>
      </c>
      <c r="C138" s="107" t="str">
        <f>'[1]POOL-joueus'!$C$625</f>
        <v>T.B.</v>
      </c>
      <c r="D138" s="124" t="str">
        <f>'[1]POOL-joueus'!$D$625</f>
        <v>Steven Stamkos</v>
      </c>
      <c r="E138" s="123">
        <f>('[1]POOL-joueus'!$E$625)-22</f>
        <v>43</v>
      </c>
      <c r="F138" s="123">
        <f>('[1]POOL-joueus'!$F$625)-3</f>
        <v>11</v>
      </c>
      <c r="G138" s="123">
        <f>('[1]POOL-joueus'!$G$625)-3</f>
        <v>16</v>
      </c>
      <c r="H138" s="114">
        <f>SUM(F138:G138)</f>
        <v>27</v>
      </c>
      <c r="I138" s="115">
        <f t="shared" si="21"/>
        <v>0.627906976744186</v>
      </c>
      <c r="M138" s="2"/>
      <c r="N138" s="83" t="s">
        <v>73</v>
      </c>
      <c r="O138" s="90">
        <v>1</v>
      </c>
      <c r="U138" s="161"/>
    </row>
    <row r="139" spans="2:21" ht="15" customHeight="1">
      <c r="B139" s="278" t="s">
        <v>7</v>
      </c>
      <c r="C139" s="281"/>
      <c r="D139" s="279"/>
      <c r="E139" s="22">
        <f>SUM(E134:E138)</f>
        <v>75</v>
      </c>
      <c r="F139" s="22">
        <f>SUM(F134:F138)</f>
        <v>16</v>
      </c>
      <c r="G139" s="22">
        <f>SUM(G134:G138)</f>
        <v>26</v>
      </c>
      <c r="H139" s="22">
        <f>SUM(H134:H138)</f>
        <v>42</v>
      </c>
      <c r="I139" s="23">
        <f t="shared" si="21"/>
        <v>0.56</v>
      </c>
      <c r="M139" s="2"/>
      <c r="N139" s="83" t="s">
        <v>74</v>
      </c>
      <c r="O139" s="90">
        <v>21</v>
      </c>
      <c r="U139" s="161"/>
    </row>
    <row r="140" spans="2:21" ht="15" customHeight="1">
      <c r="B140" s="76"/>
      <c r="C140" s="76"/>
      <c r="D140" s="76"/>
      <c r="E140" s="53"/>
      <c r="F140" s="53"/>
      <c r="G140" s="53"/>
      <c r="H140" s="53"/>
      <c r="I140" s="77"/>
      <c r="M140" s="2"/>
      <c r="N140" s="83" t="s">
        <v>75</v>
      </c>
      <c r="O140" s="90"/>
      <c r="U140" s="161"/>
    </row>
    <row r="141" spans="2:21" ht="12.75" customHeight="1">
      <c r="B141" s="278" t="s">
        <v>142</v>
      </c>
      <c r="C141" s="281"/>
      <c r="D141" s="279"/>
      <c r="E141" s="109">
        <f>E131+E139</f>
        <v>76</v>
      </c>
      <c r="F141" s="112"/>
      <c r="G141" s="112"/>
      <c r="H141" s="28">
        <f>K131+H139</f>
        <v>42</v>
      </c>
      <c r="I141" s="29">
        <f>H141/E141</f>
        <v>0.5526315789473685</v>
      </c>
      <c r="M141" s="2"/>
      <c r="N141" s="83" t="s">
        <v>76</v>
      </c>
      <c r="O141" s="90"/>
      <c r="U141" s="161"/>
    </row>
    <row r="142" spans="2:21" ht="15" customHeight="1">
      <c r="B142" s="76"/>
      <c r="C142" s="76"/>
      <c r="D142" s="76"/>
      <c r="E142" s="53"/>
      <c r="F142" s="53"/>
      <c r="G142" s="53"/>
      <c r="H142" s="53"/>
      <c r="I142" s="77"/>
      <c r="M142" s="2"/>
      <c r="N142" s="83" t="s">
        <v>79</v>
      </c>
      <c r="O142" s="90"/>
      <c r="U142" s="161"/>
    </row>
    <row r="143" spans="2:21" ht="15" customHeight="1">
      <c r="B143" s="76"/>
      <c r="C143" s="76"/>
      <c r="D143" s="76"/>
      <c r="E143" s="53"/>
      <c r="F143" s="53"/>
      <c r="G143" s="53"/>
      <c r="H143" s="53"/>
      <c r="I143" s="77"/>
      <c r="M143" s="2"/>
      <c r="N143" s="83" t="s">
        <v>77</v>
      </c>
      <c r="O143" s="90"/>
      <c r="U143" s="161"/>
    </row>
    <row r="144" spans="2:21" ht="15" customHeight="1">
      <c r="B144" s="78"/>
      <c r="C144" s="78"/>
      <c r="D144" s="78"/>
      <c r="E144" s="79"/>
      <c r="F144" s="79"/>
      <c r="G144" s="79"/>
      <c r="H144" s="79"/>
      <c r="I144" s="80"/>
      <c r="J144" s="81"/>
      <c r="K144" s="81"/>
      <c r="M144" s="2"/>
      <c r="N144" s="83" t="s">
        <v>78</v>
      </c>
      <c r="O144" s="90"/>
      <c r="U144" s="161"/>
    </row>
    <row r="145" spans="13:21" ht="15" customHeight="1" thickBot="1">
      <c r="M145" s="2"/>
      <c r="N145" s="84"/>
      <c r="O145" s="89"/>
      <c r="U145" s="161"/>
    </row>
    <row r="146" spans="2:21" ht="15" customHeight="1" thickBot="1">
      <c r="B146" s="284" t="s">
        <v>49</v>
      </c>
      <c r="C146" s="285"/>
      <c r="D146" s="285"/>
      <c r="E146" s="285"/>
      <c r="F146" s="285"/>
      <c r="G146" s="285"/>
      <c r="H146" s="285"/>
      <c r="I146" s="285"/>
      <c r="J146" s="285"/>
      <c r="K146" s="286"/>
      <c r="M146" s="2"/>
      <c r="N146" s="93" t="s">
        <v>80</v>
      </c>
      <c r="O146" s="94">
        <f>SUM(O136:O144)</f>
        <v>31</v>
      </c>
      <c r="U146" s="161"/>
    </row>
    <row r="147" spans="2:21" ht="15" customHeight="1">
      <c r="B147" s="287" t="s">
        <v>50</v>
      </c>
      <c r="C147" s="288"/>
      <c r="D147" s="58" t="s">
        <v>51</v>
      </c>
      <c r="E147" s="313" t="s">
        <v>52</v>
      </c>
      <c r="F147" s="314"/>
      <c r="G147" s="313" t="s">
        <v>53</v>
      </c>
      <c r="H147" s="323"/>
      <c r="I147" s="314"/>
      <c r="J147" s="313" t="s">
        <v>54</v>
      </c>
      <c r="K147" s="314"/>
      <c r="M147" s="2"/>
      <c r="U147" s="161"/>
    </row>
    <row r="148" spans="2:21" ht="12.75">
      <c r="B148" s="259" t="s">
        <v>185</v>
      </c>
      <c r="C148" s="260"/>
      <c r="D148" s="47" t="s">
        <v>182</v>
      </c>
      <c r="E148" s="259" t="s">
        <v>186</v>
      </c>
      <c r="F148" s="260"/>
      <c r="G148" s="259" t="s">
        <v>183</v>
      </c>
      <c r="H148" s="261"/>
      <c r="I148" s="260"/>
      <c r="J148" s="259" t="s">
        <v>181</v>
      </c>
      <c r="K148" s="260"/>
      <c r="U148" s="161"/>
    </row>
    <row r="149" spans="2:21" ht="12.75">
      <c r="B149" s="259" t="s">
        <v>244</v>
      </c>
      <c r="C149" s="260"/>
      <c r="D149" s="47" t="s">
        <v>295</v>
      </c>
      <c r="E149" s="259" t="s">
        <v>241</v>
      </c>
      <c r="F149" s="260"/>
      <c r="G149" s="259" t="s">
        <v>296</v>
      </c>
      <c r="H149" s="261"/>
      <c r="I149" s="260"/>
      <c r="J149" s="259" t="s">
        <v>297</v>
      </c>
      <c r="K149" s="260"/>
      <c r="U149" s="161"/>
    </row>
    <row r="150" spans="2:21" ht="12.75">
      <c r="B150" s="259" t="s">
        <v>244</v>
      </c>
      <c r="C150" s="260"/>
      <c r="D150" s="47" t="s">
        <v>337</v>
      </c>
      <c r="E150" s="259" t="s">
        <v>241</v>
      </c>
      <c r="F150" s="260"/>
      <c r="G150" s="259" t="s">
        <v>202</v>
      </c>
      <c r="H150" s="261"/>
      <c r="I150" s="260"/>
      <c r="J150" s="259" t="s">
        <v>338</v>
      </c>
      <c r="K150" s="260"/>
      <c r="U150" s="161"/>
    </row>
    <row r="151" spans="2:21" ht="12.75">
      <c r="B151" s="259" t="s">
        <v>288</v>
      </c>
      <c r="C151" s="260"/>
      <c r="D151" s="47" t="s">
        <v>183</v>
      </c>
      <c r="E151" s="259" t="s">
        <v>250</v>
      </c>
      <c r="F151" s="260"/>
      <c r="G151" s="259" t="s">
        <v>370</v>
      </c>
      <c r="H151" s="261"/>
      <c r="I151" s="260"/>
      <c r="J151" s="259" t="s">
        <v>371</v>
      </c>
      <c r="K151" s="260"/>
      <c r="U151" s="161"/>
    </row>
    <row r="152" spans="2:21" ht="12.75">
      <c r="B152" s="259" t="s">
        <v>308</v>
      </c>
      <c r="C152" s="260"/>
      <c r="D152" s="47" t="s">
        <v>387</v>
      </c>
      <c r="E152" s="259" t="s">
        <v>250</v>
      </c>
      <c r="F152" s="260"/>
      <c r="G152" s="259" t="s">
        <v>388</v>
      </c>
      <c r="H152" s="261"/>
      <c r="I152" s="260"/>
      <c r="J152" s="259" t="s">
        <v>389</v>
      </c>
      <c r="K152" s="260"/>
      <c r="U152" s="161"/>
    </row>
    <row r="153" spans="2:21" ht="12.75">
      <c r="B153" s="259" t="s">
        <v>288</v>
      </c>
      <c r="C153" s="260"/>
      <c r="D153" s="47" t="s">
        <v>433</v>
      </c>
      <c r="E153" s="259" t="s">
        <v>250</v>
      </c>
      <c r="F153" s="260"/>
      <c r="G153" s="259" t="s">
        <v>434</v>
      </c>
      <c r="H153" s="261"/>
      <c r="I153" s="260"/>
      <c r="J153" s="259" t="s">
        <v>435</v>
      </c>
      <c r="K153" s="260"/>
      <c r="U153" s="161"/>
    </row>
    <row r="154" spans="2:21" ht="12.75">
      <c r="B154" s="259" t="s">
        <v>234</v>
      </c>
      <c r="C154" s="260"/>
      <c r="D154" s="47" t="s">
        <v>499</v>
      </c>
      <c r="E154" s="259" t="s">
        <v>250</v>
      </c>
      <c r="F154" s="260"/>
      <c r="G154" s="259" t="s">
        <v>500</v>
      </c>
      <c r="H154" s="261"/>
      <c r="I154" s="260"/>
      <c r="J154" s="259" t="s">
        <v>501</v>
      </c>
      <c r="K154" s="260"/>
      <c r="U154" s="161"/>
    </row>
    <row r="155" spans="2:21" ht="12.75">
      <c r="B155" s="259" t="s">
        <v>234</v>
      </c>
      <c r="C155" s="260"/>
      <c r="D155" s="47" t="s">
        <v>502</v>
      </c>
      <c r="E155" s="259" t="s">
        <v>250</v>
      </c>
      <c r="F155" s="260"/>
      <c r="G155" s="259" t="s">
        <v>503</v>
      </c>
      <c r="H155" s="261"/>
      <c r="I155" s="260"/>
      <c r="J155" s="259" t="s">
        <v>504</v>
      </c>
      <c r="K155" s="260"/>
      <c r="U155" s="161"/>
    </row>
    <row r="156" spans="2:21" ht="12.75">
      <c r="B156" s="259" t="s">
        <v>234</v>
      </c>
      <c r="C156" s="260"/>
      <c r="D156" s="47" t="s">
        <v>548</v>
      </c>
      <c r="E156" s="259" t="s">
        <v>250</v>
      </c>
      <c r="F156" s="260"/>
      <c r="G156" s="259" t="s">
        <v>549</v>
      </c>
      <c r="H156" s="261"/>
      <c r="I156" s="260"/>
      <c r="J156" s="259" t="s">
        <v>550</v>
      </c>
      <c r="K156" s="260"/>
      <c r="U156" s="161"/>
    </row>
    <row r="157" spans="2:21" ht="12.75">
      <c r="B157" s="259" t="s">
        <v>244</v>
      </c>
      <c r="C157" s="260"/>
      <c r="D157" s="47" t="s">
        <v>570</v>
      </c>
      <c r="E157" s="259" t="s">
        <v>241</v>
      </c>
      <c r="F157" s="260"/>
      <c r="G157" s="259" t="s">
        <v>571</v>
      </c>
      <c r="H157" s="261"/>
      <c r="I157" s="260"/>
      <c r="J157" s="259" t="s">
        <v>572</v>
      </c>
      <c r="K157" s="260"/>
      <c r="U157" s="161"/>
    </row>
    <row r="158" spans="2:21" ht="12.75">
      <c r="B158" s="259" t="s">
        <v>308</v>
      </c>
      <c r="C158" s="260"/>
      <c r="D158" s="47" t="s">
        <v>503</v>
      </c>
      <c r="E158" s="259" t="s">
        <v>250</v>
      </c>
      <c r="F158" s="260"/>
      <c r="G158" s="259" t="s">
        <v>502</v>
      </c>
      <c r="H158" s="261"/>
      <c r="I158" s="260"/>
      <c r="J158" s="259" t="s">
        <v>586</v>
      </c>
      <c r="K158" s="260"/>
      <c r="U158" s="161"/>
    </row>
    <row r="159" spans="2:21" ht="12.75">
      <c r="B159" s="259" t="s">
        <v>234</v>
      </c>
      <c r="C159" s="260"/>
      <c r="D159" s="47" t="s">
        <v>502</v>
      </c>
      <c r="E159" s="259" t="s">
        <v>250</v>
      </c>
      <c r="F159" s="260"/>
      <c r="G159" s="259" t="s">
        <v>503</v>
      </c>
      <c r="H159" s="261"/>
      <c r="I159" s="260"/>
      <c r="J159" s="259" t="s">
        <v>619</v>
      </c>
      <c r="K159" s="260"/>
      <c r="U159" s="161"/>
    </row>
    <row r="160" spans="2:21" ht="12.75">
      <c r="B160" s="259" t="s">
        <v>234</v>
      </c>
      <c r="C160" s="260"/>
      <c r="D160" s="47" t="s">
        <v>503</v>
      </c>
      <c r="E160" s="259" t="s">
        <v>250</v>
      </c>
      <c r="F160" s="260"/>
      <c r="G160" s="259" t="s">
        <v>669</v>
      </c>
      <c r="H160" s="261"/>
      <c r="I160" s="260"/>
      <c r="J160" s="259" t="s">
        <v>670</v>
      </c>
      <c r="K160" s="260"/>
      <c r="U160" s="161"/>
    </row>
    <row r="161" spans="2:21" ht="12.75">
      <c r="B161" s="259" t="s">
        <v>234</v>
      </c>
      <c r="C161" s="260"/>
      <c r="D161" s="151" t="s">
        <v>701</v>
      </c>
      <c r="E161" s="259" t="s">
        <v>250</v>
      </c>
      <c r="F161" s="260"/>
      <c r="G161" s="262" t="s">
        <v>571</v>
      </c>
      <c r="H161" s="261"/>
      <c r="I161" s="260"/>
      <c r="J161" s="259" t="s">
        <v>702</v>
      </c>
      <c r="K161" s="260"/>
      <c r="U161" s="161"/>
    </row>
    <row r="162" spans="2:21" ht="12.75">
      <c r="B162" s="259" t="s">
        <v>244</v>
      </c>
      <c r="C162" s="260"/>
      <c r="D162" s="47" t="s">
        <v>756</v>
      </c>
      <c r="E162" s="259" t="s">
        <v>241</v>
      </c>
      <c r="F162" s="260"/>
      <c r="G162" s="259" t="s">
        <v>758</v>
      </c>
      <c r="H162" s="261"/>
      <c r="I162" s="260"/>
      <c r="J162" s="259" t="s">
        <v>759</v>
      </c>
      <c r="K162" s="260"/>
      <c r="U162" s="161"/>
    </row>
    <row r="163" spans="2:21" ht="12.75">
      <c r="B163" s="259" t="s">
        <v>244</v>
      </c>
      <c r="C163" s="260"/>
      <c r="D163" s="47" t="s">
        <v>757</v>
      </c>
      <c r="E163" s="259" t="s">
        <v>241</v>
      </c>
      <c r="F163" s="260"/>
      <c r="G163" s="259" t="s">
        <v>760</v>
      </c>
      <c r="H163" s="261"/>
      <c r="I163" s="260"/>
      <c r="J163" s="259" t="s">
        <v>759</v>
      </c>
      <c r="K163" s="260"/>
      <c r="U163" s="161"/>
    </row>
    <row r="164" spans="2:21" ht="12.75">
      <c r="B164" s="259" t="s">
        <v>288</v>
      </c>
      <c r="C164" s="260"/>
      <c r="D164" s="47" t="s">
        <v>500</v>
      </c>
      <c r="E164" s="259" t="s">
        <v>250</v>
      </c>
      <c r="F164" s="260"/>
      <c r="G164" s="259" t="s">
        <v>758</v>
      </c>
      <c r="H164" s="261"/>
      <c r="I164" s="260"/>
      <c r="J164" s="259" t="s">
        <v>765</v>
      </c>
      <c r="K164" s="260"/>
      <c r="U164" s="161"/>
    </row>
    <row r="165" spans="2:21" ht="12.75">
      <c r="B165" s="259" t="s">
        <v>308</v>
      </c>
      <c r="C165" s="260"/>
      <c r="D165" s="47" t="s">
        <v>571</v>
      </c>
      <c r="E165" s="259" t="s">
        <v>250</v>
      </c>
      <c r="F165" s="260"/>
      <c r="G165" s="259" t="s">
        <v>503</v>
      </c>
      <c r="H165" s="261"/>
      <c r="I165" s="260"/>
      <c r="J165" s="259" t="s">
        <v>820</v>
      </c>
      <c r="K165" s="260"/>
      <c r="U165" s="161"/>
    </row>
    <row r="166" spans="2:21" ht="12.75">
      <c r="B166" s="259" t="s">
        <v>234</v>
      </c>
      <c r="C166" s="260"/>
      <c r="D166" s="47" t="s">
        <v>434</v>
      </c>
      <c r="E166" s="259" t="s">
        <v>250</v>
      </c>
      <c r="F166" s="260"/>
      <c r="G166" s="259" t="s">
        <v>433</v>
      </c>
      <c r="H166" s="261"/>
      <c r="I166" s="260"/>
      <c r="J166" s="259" t="s">
        <v>820</v>
      </c>
      <c r="K166" s="260"/>
      <c r="U166" s="161"/>
    </row>
    <row r="167" spans="2:21" ht="12.75">
      <c r="B167" s="259" t="s">
        <v>234</v>
      </c>
      <c r="C167" s="260"/>
      <c r="D167" s="47" t="s">
        <v>824</v>
      </c>
      <c r="E167" s="259" t="s">
        <v>250</v>
      </c>
      <c r="F167" s="260"/>
      <c r="G167" s="259" t="s">
        <v>825</v>
      </c>
      <c r="H167" s="261"/>
      <c r="I167" s="260"/>
      <c r="J167" s="259" t="s">
        <v>826</v>
      </c>
      <c r="K167" s="260"/>
      <c r="U167" s="161"/>
    </row>
    <row r="168" spans="2:21" ht="12.75">
      <c r="B168" s="259" t="s">
        <v>308</v>
      </c>
      <c r="C168" s="260"/>
      <c r="D168" s="47" t="s">
        <v>855</v>
      </c>
      <c r="E168" s="259" t="s">
        <v>250</v>
      </c>
      <c r="F168" s="260"/>
      <c r="G168" s="259" t="s">
        <v>856</v>
      </c>
      <c r="H168" s="261"/>
      <c r="I168" s="260"/>
      <c r="J168" s="259" t="s">
        <v>857</v>
      </c>
      <c r="K168" s="260"/>
      <c r="U168" s="161"/>
    </row>
    <row r="169" spans="2:21" ht="12.75">
      <c r="B169" s="259" t="s">
        <v>234</v>
      </c>
      <c r="C169" s="260"/>
      <c r="D169" s="47" t="s">
        <v>549</v>
      </c>
      <c r="E169" s="259" t="s">
        <v>250</v>
      </c>
      <c r="F169" s="260"/>
      <c r="G169" s="259" t="s">
        <v>387</v>
      </c>
      <c r="H169" s="261"/>
      <c r="I169" s="260"/>
      <c r="J169" s="259" t="s">
        <v>965</v>
      </c>
      <c r="K169" s="260"/>
      <c r="U169" s="161"/>
    </row>
    <row r="170" spans="2:21" ht="12.75">
      <c r="B170" s="259" t="s">
        <v>288</v>
      </c>
      <c r="C170" s="260"/>
      <c r="D170" s="47" t="s">
        <v>996</v>
      </c>
      <c r="E170" s="259" t="s">
        <v>250</v>
      </c>
      <c r="F170" s="260"/>
      <c r="G170" s="259" t="s">
        <v>503</v>
      </c>
      <c r="H170" s="261"/>
      <c r="I170" s="260"/>
      <c r="J170" s="259" t="s">
        <v>997</v>
      </c>
      <c r="K170" s="260"/>
      <c r="U170" s="161"/>
    </row>
    <row r="171" spans="2:21" ht="12.75">
      <c r="B171" s="259" t="s">
        <v>234</v>
      </c>
      <c r="C171" s="260"/>
      <c r="D171" s="47" t="s">
        <v>1047</v>
      </c>
      <c r="E171" s="259" t="s">
        <v>250</v>
      </c>
      <c r="F171" s="260"/>
      <c r="G171" s="259" t="s">
        <v>1048</v>
      </c>
      <c r="H171" s="261"/>
      <c r="I171" s="260"/>
      <c r="J171" s="259" t="s">
        <v>1049</v>
      </c>
      <c r="K171" s="260"/>
      <c r="U171" s="161"/>
    </row>
    <row r="172" spans="2:21" ht="12.75">
      <c r="B172" s="259" t="s">
        <v>234</v>
      </c>
      <c r="C172" s="260"/>
      <c r="D172" s="47" t="s">
        <v>1063</v>
      </c>
      <c r="E172" s="259" t="s">
        <v>250</v>
      </c>
      <c r="F172" s="260"/>
      <c r="G172" s="259" t="s">
        <v>202</v>
      </c>
      <c r="H172" s="261"/>
      <c r="I172" s="260"/>
      <c r="J172" s="259" t="s">
        <v>1090</v>
      </c>
      <c r="K172" s="260"/>
      <c r="U172" s="161"/>
    </row>
    <row r="173" spans="2:21" ht="12.75">
      <c r="B173" s="259" t="s">
        <v>308</v>
      </c>
      <c r="C173" s="260"/>
      <c r="D173" s="47" t="s">
        <v>1117</v>
      </c>
      <c r="E173" s="259" t="s">
        <v>250</v>
      </c>
      <c r="F173" s="260"/>
      <c r="G173" s="259" t="s">
        <v>499</v>
      </c>
      <c r="H173" s="261"/>
      <c r="I173" s="260"/>
      <c r="J173" s="259" t="s">
        <v>1118</v>
      </c>
      <c r="K173" s="260"/>
      <c r="U173" s="161"/>
    </row>
    <row r="174" spans="2:21" ht="12.75">
      <c r="B174" s="259" t="s">
        <v>308</v>
      </c>
      <c r="C174" s="260"/>
      <c r="D174" s="151" t="s">
        <v>388</v>
      </c>
      <c r="E174" s="259" t="s">
        <v>250</v>
      </c>
      <c r="F174" s="260"/>
      <c r="G174" s="262" t="s">
        <v>548</v>
      </c>
      <c r="H174" s="261"/>
      <c r="I174" s="260"/>
      <c r="J174" s="259" t="s">
        <v>1140</v>
      </c>
      <c r="K174" s="260"/>
      <c r="U174" s="161"/>
    </row>
    <row r="175" spans="2:21" ht="12.75">
      <c r="B175" s="259" t="s">
        <v>308</v>
      </c>
      <c r="C175" s="260"/>
      <c r="D175" s="47" t="s">
        <v>825</v>
      </c>
      <c r="E175" s="259" t="s">
        <v>250</v>
      </c>
      <c r="F175" s="260"/>
      <c r="G175" s="259" t="s">
        <v>824</v>
      </c>
      <c r="H175" s="261"/>
      <c r="I175" s="260"/>
      <c r="J175" s="259" t="s">
        <v>1140</v>
      </c>
      <c r="K175" s="260"/>
      <c r="U175" s="161"/>
    </row>
    <row r="176" spans="2:21" ht="12.75">
      <c r="B176" s="259" t="s">
        <v>308</v>
      </c>
      <c r="C176" s="260"/>
      <c r="D176" s="47" t="s">
        <v>701</v>
      </c>
      <c r="E176" s="259" t="s">
        <v>250</v>
      </c>
      <c r="F176" s="260"/>
      <c r="G176" s="259" t="s">
        <v>1047</v>
      </c>
      <c r="H176" s="261"/>
      <c r="I176" s="260"/>
      <c r="J176" s="259" t="s">
        <v>1141</v>
      </c>
      <c r="K176" s="260"/>
      <c r="U176" s="161"/>
    </row>
    <row r="177" spans="2:21" ht="12.75">
      <c r="B177" s="259" t="s">
        <v>234</v>
      </c>
      <c r="C177" s="260"/>
      <c r="D177" s="47" t="s">
        <v>548</v>
      </c>
      <c r="E177" s="259" t="s">
        <v>250</v>
      </c>
      <c r="F177" s="260"/>
      <c r="G177" s="259" t="s">
        <v>549</v>
      </c>
      <c r="H177" s="261"/>
      <c r="I177" s="260"/>
      <c r="J177" s="259" t="s">
        <v>1169</v>
      </c>
      <c r="K177" s="260"/>
      <c r="U177" s="161"/>
    </row>
    <row r="178" spans="2:21" ht="12.75">
      <c r="B178" s="259"/>
      <c r="C178" s="260"/>
      <c r="D178" s="47"/>
      <c r="E178" s="259"/>
      <c r="F178" s="260"/>
      <c r="G178" s="259"/>
      <c r="H178" s="261"/>
      <c r="I178" s="260"/>
      <c r="J178" s="259"/>
      <c r="K178" s="260"/>
      <c r="U178" s="161"/>
    </row>
    <row r="179" spans="2:21" ht="12.75">
      <c r="B179" s="259"/>
      <c r="C179" s="260"/>
      <c r="D179" s="47"/>
      <c r="E179" s="259"/>
      <c r="F179" s="260"/>
      <c r="G179" s="259"/>
      <c r="H179" s="261"/>
      <c r="I179" s="260"/>
      <c r="J179" s="259"/>
      <c r="K179" s="260"/>
      <c r="U179" s="161"/>
    </row>
    <row r="180" spans="2:21" ht="12.75">
      <c r="B180" s="259"/>
      <c r="C180" s="260"/>
      <c r="D180" s="47"/>
      <c r="E180" s="259"/>
      <c r="F180" s="260"/>
      <c r="G180" s="259"/>
      <c r="H180" s="261"/>
      <c r="I180" s="260"/>
      <c r="J180" s="259"/>
      <c r="K180" s="260"/>
      <c r="U180" s="161"/>
    </row>
    <row r="181" spans="2:11" ht="12.75">
      <c r="B181" s="259"/>
      <c r="C181" s="260"/>
      <c r="D181" s="47"/>
      <c r="E181" s="259"/>
      <c r="F181" s="260"/>
      <c r="G181" s="259"/>
      <c r="H181" s="261"/>
      <c r="I181" s="260"/>
      <c r="J181" s="259"/>
      <c r="K181" s="260"/>
    </row>
    <row r="182" spans="2:11" ht="12.75">
      <c r="B182" s="259"/>
      <c r="C182" s="260"/>
      <c r="D182" s="47"/>
      <c r="E182" s="259"/>
      <c r="F182" s="260"/>
      <c r="G182" s="259"/>
      <c r="H182" s="261"/>
      <c r="I182" s="260"/>
      <c r="J182" s="259"/>
      <c r="K182" s="260"/>
    </row>
    <row r="183" spans="2:11" ht="12.75">
      <c r="B183" s="259"/>
      <c r="C183" s="260"/>
      <c r="D183" s="47"/>
      <c r="E183" s="259"/>
      <c r="F183" s="260"/>
      <c r="G183" s="259"/>
      <c r="H183" s="261"/>
      <c r="I183" s="260"/>
      <c r="J183" s="259"/>
      <c r="K183" s="260"/>
    </row>
    <row r="184" spans="2:11" ht="12.75">
      <c r="B184" s="259"/>
      <c r="C184" s="260"/>
      <c r="D184" s="47"/>
      <c r="E184" s="259"/>
      <c r="F184" s="260"/>
      <c r="G184" s="259"/>
      <c r="H184" s="261"/>
      <c r="I184" s="260"/>
      <c r="J184" s="259"/>
      <c r="K184" s="260"/>
    </row>
    <row r="185" spans="2:11" ht="12.75">
      <c r="B185" s="259"/>
      <c r="C185" s="260"/>
      <c r="D185" s="47"/>
      <c r="E185" s="259"/>
      <c r="F185" s="260"/>
      <c r="G185" s="259"/>
      <c r="H185" s="261"/>
      <c r="I185" s="260"/>
      <c r="J185" s="259"/>
      <c r="K185" s="260"/>
    </row>
    <row r="186" spans="2:11" ht="12.75">
      <c r="B186" s="259"/>
      <c r="C186" s="260"/>
      <c r="D186" s="47"/>
      <c r="E186" s="259"/>
      <c r="F186" s="260"/>
      <c r="G186" s="259"/>
      <c r="H186" s="261"/>
      <c r="I186" s="260"/>
      <c r="J186" s="259"/>
      <c r="K186" s="260"/>
    </row>
    <row r="187" spans="2:11" ht="12.75">
      <c r="B187" s="259"/>
      <c r="C187" s="260"/>
      <c r="D187" s="47"/>
      <c r="E187" s="259"/>
      <c r="F187" s="260"/>
      <c r="G187" s="259"/>
      <c r="H187" s="261"/>
      <c r="I187" s="260"/>
      <c r="J187" s="259"/>
      <c r="K187" s="260"/>
    </row>
    <row r="188" spans="2:11" ht="12.75">
      <c r="B188" s="259"/>
      <c r="C188" s="260"/>
      <c r="D188" s="47"/>
      <c r="E188" s="259"/>
      <c r="F188" s="260"/>
      <c r="G188" s="259"/>
      <c r="H188" s="261"/>
      <c r="I188" s="260"/>
      <c r="J188" s="259"/>
      <c r="K188" s="260"/>
    </row>
  </sheetData>
  <mergeCells count="229">
    <mergeCell ref="Z35:AA35"/>
    <mergeCell ref="Z31:AA31"/>
    <mergeCell ref="Z32:AA32"/>
    <mergeCell ref="Z33:AA33"/>
    <mergeCell ref="Z34:AA34"/>
    <mergeCell ref="X31:Y31"/>
    <mergeCell ref="X32:Y32"/>
    <mergeCell ref="X33:Y33"/>
    <mergeCell ref="X35:Y35"/>
    <mergeCell ref="X34:Y34"/>
    <mergeCell ref="X11:Y11"/>
    <mergeCell ref="X14:Y14"/>
    <mergeCell ref="X30:Y30"/>
    <mergeCell ref="W10:AB10"/>
    <mergeCell ref="Z11:AA11"/>
    <mergeCell ref="Z30:AA30"/>
    <mergeCell ref="J188:K188"/>
    <mergeCell ref="B187:C187"/>
    <mergeCell ref="E187:F187"/>
    <mergeCell ref="G187:I187"/>
    <mergeCell ref="J187:K187"/>
    <mergeCell ref="B188:C188"/>
    <mergeCell ref="E188:F188"/>
    <mergeCell ref="G188:I188"/>
    <mergeCell ref="J186:K186"/>
    <mergeCell ref="B185:C185"/>
    <mergeCell ref="E185:F185"/>
    <mergeCell ref="G185:I185"/>
    <mergeCell ref="J185:K185"/>
    <mergeCell ref="B186:C186"/>
    <mergeCell ref="E186:F186"/>
    <mergeCell ref="G186:I186"/>
    <mergeCell ref="J184:K184"/>
    <mergeCell ref="B183:C183"/>
    <mergeCell ref="E183:F183"/>
    <mergeCell ref="G183:I183"/>
    <mergeCell ref="J183:K183"/>
    <mergeCell ref="B184:C184"/>
    <mergeCell ref="E184:F184"/>
    <mergeCell ref="G184:I184"/>
    <mergeCell ref="B182:C182"/>
    <mergeCell ref="E182:F182"/>
    <mergeCell ref="G182:I182"/>
    <mergeCell ref="J182:K182"/>
    <mergeCell ref="B181:C181"/>
    <mergeCell ref="E181:F181"/>
    <mergeCell ref="G181:I181"/>
    <mergeCell ref="J181:K181"/>
    <mergeCell ref="B180:C180"/>
    <mergeCell ref="E180:F180"/>
    <mergeCell ref="G180:I180"/>
    <mergeCell ref="J180:K180"/>
    <mergeCell ref="B179:C179"/>
    <mergeCell ref="E179:F179"/>
    <mergeCell ref="G179:I179"/>
    <mergeCell ref="J179:K179"/>
    <mergeCell ref="B178:C178"/>
    <mergeCell ref="E178:F178"/>
    <mergeCell ref="G178:I178"/>
    <mergeCell ref="J178:K178"/>
    <mergeCell ref="B177:C177"/>
    <mergeCell ref="E177:F177"/>
    <mergeCell ref="G177:I177"/>
    <mergeCell ref="J177:K177"/>
    <mergeCell ref="B176:C176"/>
    <mergeCell ref="E176:F176"/>
    <mergeCell ref="G176:I176"/>
    <mergeCell ref="J176:K176"/>
    <mergeCell ref="B175:C175"/>
    <mergeCell ref="E175:F175"/>
    <mergeCell ref="G175:I175"/>
    <mergeCell ref="J175:K175"/>
    <mergeCell ref="B174:C174"/>
    <mergeCell ref="E174:F174"/>
    <mergeCell ref="G174:I174"/>
    <mergeCell ref="J174:K174"/>
    <mergeCell ref="B173:C173"/>
    <mergeCell ref="E173:F173"/>
    <mergeCell ref="G173:I173"/>
    <mergeCell ref="J173:K173"/>
    <mergeCell ref="B172:C172"/>
    <mergeCell ref="E172:F172"/>
    <mergeCell ref="G172:I172"/>
    <mergeCell ref="J172:K172"/>
    <mergeCell ref="B171:C171"/>
    <mergeCell ref="E171:F171"/>
    <mergeCell ref="G171:I171"/>
    <mergeCell ref="J171:K171"/>
    <mergeCell ref="B170:C170"/>
    <mergeCell ref="E170:F170"/>
    <mergeCell ref="G170:I170"/>
    <mergeCell ref="J170:K170"/>
    <mergeCell ref="B169:C169"/>
    <mergeCell ref="E169:F169"/>
    <mergeCell ref="G169:I169"/>
    <mergeCell ref="J169:K169"/>
    <mergeCell ref="B168:C168"/>
    <mergeCell ref="E168:F168"/>
    <mergeCell ref="G168:I168"/>
    <mergeCell ref="J168:K168"/>
    <mergeCell ref="B167:C167"/>
    <mergeCell ref="E167:F167"/>
    <mergeCell ref="G167:I167"/>
    <mergeCell ref="J167:K167"/>
    <mergeCell ref="B166:C166"/>
    <mergeCell ref="E166:F166"/>
    <mergeCell ref="G166:I166"/>
    <mergeCell ref="J166:K166"/>
    <mergeCell ref="B165:C165"/>
    <mergeCell ref="E165:F165"/>
    <mergeCell ref="G165:I165"/>
    <mergeCell ref="J165:K165"/>
    <mergeCell ref="B164:C164"/>
    <mergeCell ref="E164:F164"/>
    <mergeCell ref="G164:I164"/>
    <mergeCell ref="J164:K164"/>
    <mergeCell ref="B163:C163"/>
    <mergeCell ref="E163:F163"/>
    <mergeCell ref="G163:I163"/>
    <mergeCell ref="J163:K163"/>
    <mergeCell ref="B162:C162"/>
    <mergeCell ref="E162:F162"/>
    <mergeCell ref="G162:I162"/>
    <mergeCell ref="J162:K162"/>
    <mergeCell ref="B161:C161"/>
    <mergeCell ref="E161:F161"/>
    <mergeCell ref="G161:I161"/>
    <mergeCell ref="J161:K161"/>
    <mergeCell ref="B160:C160"/>
    <mergeCell ref="E160:F160"/>
    <mergeCell ref="G160:I160"/>
    <mergeCell ref="J160:K160"/>
    <mergeCell ref="B159:C159"/>
    <mergeCell ref="E159:F159"/>
    <mergeCell ref="G159:I159"/>
    <mergeCell ref="J159:K159"/>
    <mergeCell ref="B158:C158"/>
    <mergeCell ref="E158:F158"/>
    <mergeCell ref="G158:I158"/>
    <mergeCell ref="J158:K158"/>
    <mergeCell ref="B157:C157"/>
    <mergeCell ref="E157:F157"/>
    <mergeCell ref="G157:I157"/>
    <mergeCell ref="J157:K157"/>
    <mergeCell ref="B156:C156"/>
    <mergeCell ref="E156:F156"/>
    <mergeCell ref="G156:I156"/>
    <mergeCell ref="J156:K156"/>
    <mergeCell ref="B155:C155"/>
    <mergeCell ref="E155:F155"/>
    <mergeCell ref="G155:I155"/>
    <mergeCell ref="J155:K155"/>
    <mergeCell ref="B154:C154"/>
    <mergeCell ref="E154:F154"/>
    <mergeCell ref="G154:I154"/>
    <mergeCell ref="J154:K154"/>
    <mergeCell ref="B153:C153"/>
    <mergeCell ref="E153:F153"/>
    <mergeCell ref="G153:I153"/>
    <mergeCell ref="J153:K153"/>
    <mergeCell ref="B152:C152"/>
    <mergeCell ref="E152:F152"/>
    <mergeCell ref="G152:I152"/>
    <mergeCell ref="J152:K152"/>
    <mergeCell ref="B151:C151"/>
    <mergeCell ref="E151:F151"/>
    <mergeCell ref="G151:I151"/>
    <mergeCell ref="J151:K151"/>
    <mergeCell ref="B150:C150"/>
    <mergeCell ref="E150:F150"/>
    <mergeCell ref="G150:I150"/>
    <mergeCell ref="J150:K150"/>
    <mergeCell ref="B149:C149"/>
    <mergeCell ref="E149:F149"/>
    <mergeCell ref="G149:I149"/>
    <mergeCell ref="J149:K149"/>
    <mergeCell ref="B148:C148"/>
    <mergeCell ref="E148:F148"/>
    <mergeCell ref="G148:I148"/>
    <mergeCell ref="J148:K148"/>
    <mergeCell ref="B139:D139"/>
    <mergeCell ref="B146:K146"/>
    <mergeCell ref="B141:D141"/>
    <mergeCell ref="B147:C147"/>
    <mergeCell ref="E147:F147"/>
    <mergeCell ref="G147:I147"/>
    <mergeCell ref="J147:K147"/>
    <mergeCell ref="B127:K127"/>
    <mergeCell ref="B107:I107"/>
    <mergeCell ref="B131:D131"/>
    <mergeCell ref="B132:I132"/>
    <mergeCell ref="B116:D116"/>
    <mergeCell ref="B118:I118"/>
    <mergeCell ref="B125:D125"/>
    <mergeCell ref="W58:Y58"/>
    <mergeCell ref="B82:K82"/>
    <mergeCell ref="C80:D80"/>
    <mergeCell ref="C79:D79"/>
    <mergeCell ref="C77:D77"/>
    <mergeCell ref="C78:D78"/>
    <mergeCell ref="B73:D73"/>
    <mergeCell ref="B45:D45"/>
    <mergeCell ref="B105:D105"/>
    <mergeCell ref="B92:D92"/>
    <mergeCell ref="B94:I94"/>
    <mergeCell ref="N43:S43"/>
    <mergeCell ref="W40:AB40"/>
    <mergeCell ref="B75:K75"/>
    <mergeCell ref="B57:D57"/>
    <mergeCell ref="B59:K59"/>
    <mergeCell ref="B64:D64"/>
    <mergeCell ref="B65:I65"/>
    <mergeCell ref="B71:D71"/>
    <mergeCell ref="AA58:AC58"/>
    <mergeCell ref="W56:AC56"/>
    <mergeCell ref="B21:D21"/>
    <mergeCell ref="B36:D36"/>
    <mergeCell ref="N30:R30"/>
    <mergeCell ref="B38:I38"/>
    <mergeCell ref="C11:D11"/>
    <mergeCell ref="B47:I47"/>
    <mergeCell ref="N20:R20"/>
    <mergeCell ref="B6:K6"/>
    <mergeCell ref="C9:D9"/>
    <mergeCell ref="B23:I23"/>
    <mergeCell ref="C10:D10"/>
    <mergeCell ref="N10:R10"/>
    <mergeCell ref="C12:D12"/>
    <mergeCell ref="B14:K14"/>
  </mergeCells>
  <printOptions/>
  <pageMargins left="0.75" right="0.75" top="1" bottom="1" header="0.4921259845" footer="0.4921259845"/>
  <pageSetup orientation="portrait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16"/>
  <sheetViews>
    <sheetView workbookViewId="0" topLeftCell="A1">
      <selection activeCell="G51" sqref="G51"/>
    </sheetView>
  </sheetViews>
  <sheetFormatPr defaultColWidth="11.421875" defaultRowHeight="12.75"/>
  <cols>
    <col min="1" max="1" width="3.7109375" style="1" customWidth="1"/>
    <col min="2" max="2" width="4.421875" style="1" customWidth="1"/>
    <col min="3" max="3" width="7.140625" style="1" customWidth="1"/>
    <col min="4" max="4" width="19.00390625" style="1" customWidth="1"/>
    <col min="5" max="7" width="5.57421875" style="1" customWidth="1"/>
    <col min="8" max="8" width="5.7109375" style="1" customWidth="1"/>
    <col min="9" max="9" width="7.00390625" style="1" customWidth="1"/>
    <col min="10" max="10" width="5.421875" style="1" customWidth="1"/>
    <col min="11" max="11" width="7.7109375" style="1" customWidth="1"/>
    <col min="12" max="12" width="2.57421875" style="1" customWidth="1"/>
    <col min="13" max="13" width="2.421875" style="1" customWidth="1"/>
    <col min="14" max="14" width="15.00390625" style="1" customWidth="1"/>
    <col min="15" max="16" width="8.00390625" style="1" customWidth="1"/>
    <col min="17" max="17" width="7.7109375" style="1" customWidth="1"/>
    <col min="18" max="18" width="12.57421875" style="1" customWidth="1"/>
    <col min="19" max="19" width="6.57421875" style="1" customWidth="1"/>
    <col min="20" max="20" width="2.28125" style="1" customWidth="1"/>
    <col min="21" max="21" width="1.7109375" style="1" customWidth="1"/>
    <col min="22" max="22" width="2.140625" style="1" customWidth="1"/>
    <col min="23" max="23" width="14.00390625" style="1" customWidth="1"/>
    <col min="24" max="24" width="6.140625" style="1" customWidth="1"/>
    <col min="25" max="27" width="7.28125" style="1" customWidth="1"/>
    <col min="28" max="16384" width="11.421875" style="1" customWidth="1"/>
  </cols>
  <sheetData>
    <row r="1" spans="8:27" ht="12.75">
      <c r="H1"/>
      <c r="I1"/>
      <c r="J1"/>
      <c r="M1" s="2"/>
      <c r="U1" s="161"/>
      <c r="W1"/>
      <c r="X1"/>
      <c r="Y1"/>
      <c r="Z1"/>
      <c r="AA1"/>
    </row>
    <row r="2" spans="8:27" ht="12.75">
      <c r="H2"/>
      <c r="I2"/>
      <c r="J2"/>
      <c r="M2" s="2"/>
      <c r="U2" s="161"/>
      <c r="W2"/>
      <c r="X2"/>
      <c r="Y2"/>
      <c r="Z2"/>
      <c r="AA2"/>
    </row>
    <row r="3" spans="8:27" ht="12.75">
      <c r="H3"/>
      <c r="I3"/>
      <c r="J3"/>
      <c r="M3" s="2"/>
      <c r="U3" s="161"/>
      <c r="W3"/>
      <c r="X3"/>
      <c r="Y3"/>
      <c r="Z3"/>
      <c r="AA3"/>
    </row>
    <row r="4" spans="8:27" ht="12.75">
      <c r="H4"/>
      <c r="I4"/>
      <c r="J4"/>
      <c r="M4" s="2"/>
      <c r="U4" s="161"/>
      <c r="W4"/>
      <c r="X4"/>
      <c r="Y4"/>
      <c r="Z4"/>
      <c r="AA4"/>
    </row>
    <row r="5" spans="8:27" ht="12.75">
      <c r="H5"/>
      <c r="I5"/>
      <c r="J5"/>
      <c r="M5" s="2"/>
      <c r="U5" s="161"/>
      <c r="W5"/>
      <c r="X5"/>
      <c r="Y5"/>
      <c r="Z5"/>
      <c r="AA5"/>
    </row>
    <row r="6" spans="2:27" ht="13.5">
      <c r="B6" s="270" t="s">
        <v>0</v>
      </c>
      <c r="C6" s="270"/>
      <c r="D6" s="270"/>
      <c r="E6" s="270"/>
      <c r="F6" s="270"/>
      <c r="G6" s="270"/>
      <c r="H6" s="270"/>
      <c r="I6" s="270"/>
      <c r="J6" s="270"/>
      <c r="K6" s="270"/>
      <c r="L6" s="3"/>
      <c r="M6" s="4"/>
      <c r="U6" s="161"/>
      <c r="W6"/>
      <c r="X6"/>
      <c r="Y6"/>
      <c r="Z6"/>
      <c r="AA6"/>
    </row>
    <row r="7" spans="2:21" ht="12.7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U7" s="161"/>
    </row>
    <row r="8" spans="2:21" ht="13.5" thickBo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/>
      <c r="U8" s="161"/>
    </row>
    <row r="9" spans="2:21" ht="15" customHeight="1" thickBot="1">
      <c r="B9" s="7"/>
      <c r="C9" s="271" t="s">
        <v>66</v>
      </c>
      <c r="D9" s="271"/>
      <c r="E9" s="9" t="s">
        <v>2</v>
      </c>
      <c r="F9" s="9" t="s">
        <v>3</v>
      </c>
      <c r="G9" s="9" t="s">
        <v>4</v>
      </c>
      <c r="H9" s="9" t="s">
        <v>5</v>
      </c>
      <c r="I9" s="148" t="s">
        <v>6</v>
      </c>
      <c r="J9" s="7"/>
      <c r="K9" s="7"/>
      <c r="L9" s="7"/>
      <c r="M9" s="8"/>
      <c r="U9" s="161"/>
    </row>
    <row r="10" spans="2:28" ht="15" customHeight="1" thickBot="1" thickTop="1">
      <c r="B10" s="7"/>
      <c r="C10" s="272" t="str">
        <f>'[1]Equipes-Pool'!$B$20</f>
        <v>Flames de Calgary</v>
      </c>
      <c r="D10" s="273"/>
      <c r="E10" s="205">
        <f>'[1]Equipes-Pool'!$C$20</f>
        <v>68</v>
      </c>
      <c r="F10" s="206">
        <f>'[1]Equipes-Pool'!$D$20</f>
        <v>86</v>
      </c>
      <c r="G10" s="206">
        <f>'[1]Equipes-Pool'!$E$20</f>
        <v>223</v>
      </c>
      <c r="H10" s="206">
        <f>'[1]Equipes-Pool'!$F$20</f>
        <v>206</v>
      </c>
      <c r="I10" s="207">
        <f>F10+(G10-H10)</f>
        <v>103</v>
      </c>
      <c r="J10" s="7"/>
      <c r="K10" s="7"/>
      <c r="L10" s="7"/>
      <c r="M10" s="8"/>
      <c r="N10" s="265" t="s">
        <v>65</v>
      </c>
      <c r="O10" s="266"/>
      <c r="P10" s="266"/>
      <c r="Q10" s="266"/>
      <c r="R10" s="267"/>
      <c r="U10" s="161"/>
      <c r="W10" s="293" t="s">
        <v>171</v>
      </c>
      <c r="X10" s="294"/>
      <c r="Y10" s="294"/>
      <c r="Z10" s="294"/>
      <c r="AA10" s="294"/>
      <c r="AB10" s="295"/>
    </row>
    <row r="11" spans="2:28" ht="15" customHeight="1" thickBot="1">
      <c r="B11" s="7"/>
      <c r="C11" s="326"/>
      <c r="D11" s="327"/>
      <c r="E11" s="35"/>
      <c r="F11" s="36"/>
      <c r="G11" s="36"/>
      <c r="H11" s="36"/>
      <c r="I11" s="37">
        <f>F11+(G11-H11)</f>
        <v>0</v>
      </c>
      <c r="J11" s="7"/>
      <c r="K11" s="7"/>
      <c r="L11" s="7"/>
      <c r="M11" s="8"/>
      <c r="N11" s="16" t="s">
        <v>8</v>
      </c>
      <c r="O11" s="17" t="s">
        <v>9</v>
      </c>
      <c r="P11" s="71" t="s">
        <v>10</v>
      </c>
      <c r="Q11" s="18" t="s">
        <v>11</v>
      </c>
      <c r="R11" s="19" t="s">
        <v>68</v>
      </c>
      <c r="U11" s="161"/>
      <c r="W11" s="152" t="s">
        <v>8</v>
      </c>
      <c r="X11" s="296" t="s">
        <v>83</v>
      </c>
      <c r="Y11" s="297"/>
      <c r="Z11" s="296" t="s">
        <v>196</v>
      </c>
      <c r="AA11" s="297"/>
      <c r="AB11" s="158" t="s">
        <v>159</v>
      </c>
    </row>
    <row r="12" spans="2:28" ht="15" customHeight="1" thickTop="1">
      <c r="B12" s="7"/>
      <c r="C12" s="274" t="s">
        <v>7</v>
      </c>
      <c r="D12" s="275"/>
      <c r="E12" s="14">
        <f>SUM(E10:E11)</f>
        <v>68</v>
      </c>
      <c r="F12" s="14">
        <f>SUM(F10:F11)</f>
        <v>86</v>
      </c>
      <c r="G12" s="14">
        <f>SUM(G10:G11)</f>
        <v>223</v>
      </c>
      <c r="H12" s="14">
        <f>SUM(H10:H11)</f>
        <v>206</v>
      </c>
      <c r="I12" s="33">
        <f>F12+(G12-H12)</f>
        <v>103</v>
      </c>
      <c r="J12" s="7"/>
      <c r="K12" s="7"/>
      <c r="L12" s="7"/>
      <c r="M12" s="8"/>
      <c r="N12" s="20" t="s">
        <v>12</v>
      </c>
      <c r="O12" s="21">
        <f>E12</f>
        <v>68</v>
      </c>
      <c r="P12" s="72">
        <f>I12</f>
        <v>103</v>
      </c>
      <c r="Q12" s="23">
        <f aca="true" t="shared" si="0" ref="Q12:Q18">P12/O12</f>
        <v>1.5147058823529411</v>
      </c>
      <c r="R12" s="22">
        <f>'[2]Individuel'!$D$19</f>
        <v>107.5</v>
      </c>
      <c r="U12" s="161"/>
      <c r="W12" s="155"/>
      <c r="X12" s="154" t="s">
        <v>143</v>
      </c>
      <c r="Y12" s="154" t="s">
        <v>157</v>
      </c>
      <c r="Z12" s="154" t="s">
        <v>143</v>
      </c>
      <c r="AA12" s="154" t="s">
        <v>157</v>
      </c>
      <c r="AB12" s="156"/>
    </row>
    <row r="13" spans="2:28" ht="12.7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25"/>
      <c r="N13" s="26" t="s">
        <v>14</v>
      </c>
      <c r="O13" s="27">
        <f>E20</f>
        <v>121</v>
      </c>
      <c r="P13" s="73">
        <f>K20</f>
        <v>183</v>
      </c>
      <c r="Q13" s="29">
        <f t="shared" si="0"/>
        <v>1.512396694214876</v>
      </c>
      <c r="R13" s="28">
        <f>'[2]Individuel'!$I$19</f>
        <v>146.5</v>
      </c>
      <c r="U13" s="161"/>
      <c r="W13" s="153" t="s">
        <v>156</v>
      </c>
      <c r="X13" s="22" t="s">
        <v>146</v>
      </c>
      <c r="Y13" s="22">
        <v>1405</v>
      </c>
      <c r="Z13" s="22"/>
      <c r="AA13" s="22"/>
      <c r="AB13" s="139">
        <f>Y13+AA13</f>
        <v>1405</v>
      </c>
    </row>
    <row r="14" spans="2:28" ht="15" customHeight="1" thickBot="1">
      <c r="B14" s="254" t="s">
        <v>13</v>
      </c>
      <c r="C14" s="254"/>
      <c r="D14" s="254"/>
      <c r="E14" s="254"/>
      <c r="F14" s="254"/>
      <c r="G14" s="254"/>
      <c r="H14" s="254"/>
      <c r="I14" s="254"/>
      <c r="J14" s="254"/>
      <c r="K14" s="254"/>
      <c r="L14" s="24"/>
      <c r="M14" s="8"/>
      <c r="N14" s="26" t="s">
        <v>23</v>
      </c>
      <c r="O14" s="27">
        <f>E39</f>
        <v>545</v>
      </c>
      <c r="P14" s="73">
        <f>H39</f>
        <v>434</v>
      </c>
      <c r="Q14" s="29">
        <f t="shared" si="0"/>
        <v>0.7963302752293578</v>
      </c>
      <c r="R14" s="125">
        <f>'[2]Individuel'!$N$19</f>
        <v>391.4</v>
      </c>
      <c r="U14" s="161"/>
      <c r="W14" s="49" t="s">
        <v>105</v>
      </c>
      <c r="X14" s="28" t="s">
        <v>149</v>
      </c>
      <c r="Y14" s="28">
        <v>91</v>
      </c>
      <c r="Z14" s="22"/>
      <c r="AA14" s="22"/>
      <c r="AB14" s="139">
        <f aca="true" t="shared" si="1" ref="AB14:AB28">Y14+AA14</f>
        <v>91</v>
      </c>
    </row>
    <row r="15" spans="2:28" ht="15" customHeight="1" thickBot="1">
      <c r="B15" s="30" t="s">
        <v>15</v>
      </c>
      <c r="C15" s="30" t="s">
        <v>16</v>
      </c>
      <c r="D15" s="30" t="s">
        <v>17</v>
      </c>
      <c r="E15" s="31" t="s">
        <v>2</v>
      </c>
      <c r="F15" s="31" t="s">
        <v>18</v>
      </c>
      <c r="G15" s="31" t="s">
        <v>19</v>
      </c>
      <c r="H15" s="31" t="s">
        <v>20</v>
      </c>
      <c r="I15" s="31" t="s">
        <v>21</v>
      </c>
      <c r="J15" s="31" t="s">
        <v>22</v>
      </c>
      <c r="K15" s="32" t="s">
        <v>6</v>
      </c>
      <c r="L15" s="7"/>
      <c r="M15" s="8"/>
      <c r="N15" s="26" t="s">
        <v>24</v>
      </c>
      <c r="O15" s="27">
        <f>E51</f>
        <v>275</v>
      </c>
      <c r="P15" s="73">
        <f>H51</f>
        <v>212</v>
      </c>
      <c r="Q15" s="29">
        <f t="shared" si="0"/>
        <v>0.7709090909090909</v>
      </c>
      <c r="R15" s="28">
        <f>'[2]Individuel'!$D$33</f>
        <v>232.7</v>
      </c>
      <c r="U15" s="161"/>
      <c r="W15" s="49" t="s">
        <v>166</v>
      </c>
      <c r="X15" s="43" t="s">
        <v>151</v>
      </c>
      <c r="Y15" s="43">
        <v>96</v>
      </c>
      <c r="Z15" s="14"/>
      <c r="AA15" s="14"/>
      <c r="AB15" s="139">
        <f t="shared" si="1"/>
        <v>96</v>
      </c>
    </row>
    <row r="16" spans="2:28" ht="15" customHeight="1" thickTop="1">
      <c r="B16" s="107">
        <f>'[1]Pool-gardien'!$B$9</f>
        <v>32.4</v>
      </c>
      <c r="C16" s="107" t="str">
        <f>'[1]Pool-gardien'!$C$9</f>
        <v>Cgy</v>
      </c>
      <c r="D16" s="124" t="str">
        <f>'[1]Pool-gardien'!$D$9</f>
        <v>Miikaa Kiprusoff</v>
      </c>
      <c r="E16" s="107">
        <f>'[1]Pool-gardien'!$E$9</f>
        <v>63</v>
      </c>
      <c r="F16" s="107">
        <f>'[1]Pool-gardien'!$F$9</f>
        <v>40</v>
      </c>
      <c r="G16" s="107">
        <f>'[1]Pool-gardien'!$G$9</f>
        <v>5</v>
      </c>
      <c r="H16" s="107">
        <f>'[1]Pool-gardien'!$H$9</f>
        <v>4</v>
      </c>
      <c r="I16" s="107">
        <f>'[1]Pool-gardien'!$I$9</f>
        <v>0</v>
      </c>
      <c r="J16" s="107">
        <f>'[1]Pool-gardien'!$J$9</f>
        <v>2</v>
      </c>
      <c r="K16" s="132">
        <f>(F16*2)+G16+(H16*4)+(I16*10)+J16</f>
        <v>103</v>
      </c>
      <c r="L16" s="7"/>
      <c r="M16" s="8"/>
      <c r="N16" s="26" t="s">
        <v>25</v>
      </c>
      <c r="O16" s="27">
        <f>E63</f>
        <v>407</v>
      </c>
      <c r="P16" s="73">
        <f>H63</f>
        <v>199</v>
      </c>
      <c r="Q16" s="29">
        <f t="shared" si="0"/>
        <v>0.48894348894348894</v>
      </c>
      <c r="R16" s="28">
        <f>'[2]Individuel'!$I$33</f>
        <v>193.3</v>
      </c>
      <c r="U16" s="161"/>
      <c r="W16" s="49" t="s">
        <v>14</v>
      </c>
      <c r="X16" s="28" t="s">
        <v>146</v>
      </c>
      <c r="Y16" s="28">
        <v>211</v>
      </c>
      <c r="Z16" s="22"/>
      <c r="AA16" s="22"/>
      <c r="AB16" s="139">
        <f t="shared" si="1"/>
        <v>211</v>
      </c>
    </row>
    <row r="17" spans="2:28" ht="15" customHeight="1" thickBot="1">
      <c r="B17" s="107">
        <f>'[1]Pool-gardien'!$B$33</f>
        <v>32.917808219178085</v>
      </c>
      <c r="C17" s="107" t="str">
        <f>'[1]Pool-gardien'!$C$33</f>
        <v>Stl</v>
      </c>
      <c r="D17" s="124" t="str">
        <f>'[1]Pool-gardien'!$D$33</f>
        <v>Chris Mason</v>
      </c>
      <c r="E17" s="107">
        <f>('[1]Pool-gardien'!$E$33)-27</f>
        <v>15</v>
      </c>
      <c r="F17" s="107">
        <f>('[1]Pool-gardien'!$F$33)-8</f>
        <v>9</v>
      </c>
      <c r="G17" s="107">
        <f>('[1]Pool-gardien'!$G$33)-3</f>
        <v>2</v>
      </c>
      <c r="H17" s="107">
        <f>('[1]Pool-gardien'!$H$33)-3</f>
        <v>1</v>
      </c>
      <c r="I17" s="107">
        <f>('[1]Pool-gardien'!$I$33)-0</f>
        <v>0</v>
      </c>
      <c r="J17" s="107">
        <f>('[1]Pool-gardien'!$J$33)-1</f>
        <v>0</v>
      </c>
      <c r="K17" s="33">
        <f>(F17*2)+G17+(H17*4)+(I17*10)+J17</f>
        <v>24</v>
      </c>
      <c r="L17" s="7"/>
      <c r="M17" s="8"/>
      <c r="N17" s="38" t="s">
        <v>27</v>
      </c>
      <c r="O17" s="117">
        <f>E77</f>
        <v>128</v>
      </c>
      <c r="P17" s="74">
        <f>H77</f>
        <v>56</v>
      </c>
      <c r="Q17" s="41">
        <f t="shared" si="0"/>
        <v>0.4375</v>
      </c>
      <c r="R17" s="40">
        <f>'[2]Individuel'!$N$33</f>
        <v>63.8</v>
      </c>
      <c r="U17" s="161"/>
      <c r="W17" s="49" t="s">
        <v>84</v>
      </c>
      <c r="X17" s="28" t="s">
        <v>146</v>
      </c>
      <c r="Y17" s="28">
        <v>511</v>
      </c>
      <c r="Z17" s="22"/>
      <c r="AA17" s="22"/>
      <c r="AB17" s="139">
        <f t="shared" si="1"/>
        <v>511</v>
      </c>
    </row>
    <row r="18" spans="2:28" ht="15" customHeight="1">
      <c r="B18" s="189">
        <f>'[1]Pool-gardien'!$B$13</f>
        <v>31.846575342465755</v>
      </c>
      <c r="C18" s="189" t="str">
        <f>'[1]Pool-gardien'!$C$13</f>
        <v>Ana</v>
      </c>
      <c r="D18" s="190" t="str">
        <f>'[1]Pool-gardien'!$D$13</f>
        <v>Jean-Sebastien Giguere</v>
      </c>
      <c r="E18" s="189">
        <v>30</v>
      </c>
      <c r="F18" s="189">
        <v>11</v>
      </c>
      <c r="G18" s="189">
        <v>4</v>
      </c>
      <c r="H18" s="189">
        <v>2</v>
      </c>
      <c r="I18" s="189">
        <v>0</v>
      </c>
      <c r="J18" s="189">
        <v>0</v>
      </c>
      <c r="K18" s="203">
        <f>(F18*2)+G18+(H18*4)+(I18*10)+J18</f>
        <v>34</v>
      </c>
      <c r="L18" s="7"/>
      <c r="M18" s="8"/>
      <c r="N18" s="42" t="s">
        <v>28</v>
      </c>
      <c r="O18" s="22">
        <f>SUM(O12:O17)</f>
        <v>1544</v>
      </c>
      <c r="P18" s="75">
        <f>SUM(P12:P17)</f>
        <v>1187</v>
      </c>
      <c r="Q18" s="23">
        <f t="shared" si="0"/>
        <v>0.7687823834196891</v>
      </c>
      <c r="R18" s="22">
        <f>'[2]Classement'!$C$20</f>
        <v>1135.2</v>
      </c>
      <c r="U18" s="161"/>
      <c r="W18" s="49" t="s">
        <v>24</v>
      </c>
      <c r="X18" s="28" t="s">
        <v>148</v>
      </c>
      <c r="Y18" s="28">
        <v>276</v>
      </c>
      <c r="Z18" s="22"/>
      <c r="AA18" s="22"/>
      <c r="AB18" s="139">
        <f t="shared" si="1"/>
        <v>276</v>
      </c>
    </row>
    <row r="19" spans="2:28" ht="15" customHeight="1" thickBot="1">
      <c r="B19" s="183">
        <f>'[1]Pool-gardien'!$B$49</f>
        <v>27.0986301369863</v>
      </c>
      <c r="C19" s="183" t="str">
        <f>'[1]Pool-gardien'!$C$49</f>
        <v>Ana</v>
      </c>
      <c r="D19" s="184" t="str">
        <f>'[1]Pool-gardien'!$D$49</f>
        <v>Jonas Hiller</v>
      </c>
      <c r="E19" s="196">
        <v>13</v>
      </c>
      <c r="F19" s="196">
        <v>7</v>
      </c>
      <c r="G19" s="196">
        <v>0</v>
      </c>
      <c r="H19" s="196">
        <v>2</v>
      </c>
      <c r="I19" s="196">
        <v>0</v>
      </c>
      <c r="J19" s="196">
        <v>0</v>
      </c>
      <c r="K19" s="197">
        <f>(F19*2)+G19+(H19*4)+(I19*10)+J19</f>
        <v>22</v>
      </c>
      <c r="L19" s="7"/>
      <c r="M19" s="8"/>
      <c r="U19" s="161"/>
      <c r="W19" s="49" t="s">
        <v>25</v>
      </c>
      <c r="X19" s="28" t="s">
        <v>146</v>
      </c>
      <c r="Y19" s="28">
        <v>236</v>
      </c>
      <c r="Z19" s="22"/>
      <c r="AA19" s="22"/>
      <c r="AB19" s="139">
        <f t="shared" si="1"/>
        <v>236</v>
      </c>
    </row>
    <row r="20" spans="2:28" ht="15" customHeight="1">
      <c r="B20" s="274" t="s">
        <v>26</v>
      </c>
      <c r="C20" s="275"/>
      <c r="D20" s="255"/>
      <c r="E20" s="14">
        <f aca="true" t="shared" si="2" ref="E20:J20">SUM(E16:E19)</f>
        <v>121</v>
      </c>
      <c r="F20" s="14">
        <f t="shared" si="2"/>
        <v>67</v>
      </c>
      <c r="G20" s="14">
        <f t="shared" si="2"/>
        <v>11</v>
      </c>
      <c r="H20" s="14">
        <f t="shared" si="2"/>
        <v>9</v>
      </c>
      <c r="I20" s="14">
        <f t="shared" si="2"/>
        <v>0</v>
      </c>
      <c r="J20" s="14">
        <f t="shared" si="2"/>
        <v>2</v>
      </c>
      <c r="K20" s="33">
        <f>(F20*2)+G20+(H20*4)+(I20*10)+J20</f>
        <v>183</v>
      </c>
      <c r="L20" s="7"/>
      <c r="M20" s="8"/>
      <c r="N20" s="265" t="s">
        <v>64</v>
      </c>
      <c r="O20" s="266"/>
      <c r="P20" s="266"/>
      <c r="Q20" s="266"/>
      <c r="R20" s="267"/>
      <c r="U20" s="161"/>
      <c r="W20" s="49" t="s">
        <v>85</v>
      </c>
      <c r="X20" s="28" t="s">
        <v>150</v>
      </c>
      <c r="Y20" s="28">
        <v>75</v>
      </c>
      <c r="Z20" s="22"/>
      <c r="AA20" s="22"/>
      <c r="AB20" s="139">
        <f t="shared" si="1"/>
        <v>75</v>
      </c>
    </row>
    <row r="21" spans="2:28" ht="15" customHeight="1" thickBot="1">
      <c r="B21" s="5"/>
      <c r="C21" s="5"/>
      <c r="D21" s="5"/>
      <c r="E21" s="7"/>
      <c r="F21" s="7"/>
      <c r="G21" s="7"/>
      <c r="H21" s="7"/>
      <c r="I21" s="7"/>
      <c r="J21" s="7"/>
      <c r="K21" s="7"/>
      <c r="L21" s="7"/>
      <c r="M21" s="8"/>
      <c r="N21" s="16" t="s">
        <v>8</v>
      </c>
      <c r="O21" s="17" t="s">
        <v>9</v>
      </c>
      <c r="P21" s="71" t="s">
        <v>10</v>
      </c>
      <c r="Q21" s="18" t="s">
        <v>11</v>
      </c>
      <c r="R21" s="19" t="s">
        <v>68</v>
      </c>
      <c r="U21" s="161"/>
      <c r="W21" s="49" t="s">
        <v>21</v>
      </c>
      <c r="X21" s="28" t="s">
        <v>148</v>
      </c>
      <c r="Y21" s="28">
        <v>370</v>
      </c>
      <c r="Z21" s="22"/>
      <c r="AA21" s="22"/>
      <c r="AB21" s="139">
        <f t="shared" si="1"/>
        <v>370</v>
      </c>
    </row>
    <row r="22" spans="2:28" ht="15" customHeight="1" thickBot="1" thickTop="1">
      <c r="B22" s="256" t="s">
        <v>23</v>
      </c>
      <c r="C22" s="257"/>
      <c r="D22" s="257"/>
      <c r="E22" s="257"/>
      <c r="F22" s="257"/>
      <c r="G22" s="257"/>
      <c r="H22" s="257"/>
      <c r="I22" s="258"/>
      <c r="J22" s="7"/>
      <c r="K22" s="7"/>
      <c r="L22" s="7"/>
      <c r="M22" s="8"/>
      <c r="N22" s="20" t="s">
        <v>31</v>
      </c>
      <c r="O22" s="27">
        <f>E86</f>
        <v>67</v>
      </c>
      <c r="P22" s="73">
        <f>I86</f>
        <v>47</v>
      </c>
      <c r="Q22" s="29">
        <f>P22/O22</f>
        <v>0.7014925373134329</v>
      </c>
      <c r="R22" s="63"/>
      <c r="U22" s="161"/>
      <c r="W22" s="49" t="s">
        <v>30</v>
      </c>
      <c r="X22" s="73" t="s">
        <v>155</v>
      </c>
      <c r="Y22" s="43">
        <v>726</v>
      </c>
      <c r="Z22" s="14"/>
      <c r="AA22" s="14"/>
      <c r="AB22" s="139">
        <f t="shared" si="1"/>
        <v>726</v>
      </c>
    </row>
    <row r="23" spans="2:28" ht="15" customHeight="1" thickBot="1">
      <c r="B23" s="30" t="s">
        <v>15</v>
      </c>
      <c r="C23" s="30" t="s">
        <v>29</v>
      </c>
      <c r="D23" s="30" t="s">
        <v>17</v>
      </c>
      <c r="E23" s="31" t="s">
        <v>2</v>
      </c>
      <c r="F23" s="31" t="s">
        <v>21</v>
      </c>
      <c r="G23" s="31" t="s">
        <v>30</v>
      </c>
      <c r="H23" s="32" t="s">
        <v>6</v>
      </c>
      <c r="I23" s="31" t="s">
        <v>11</v>
      </c>
      <c r="J23" s="7"/>
      <c r="K23" s="7"/>
      <c r="L23" s="7"/>
      <c r="M23" s="8"/>
      <c r="N23" s="26" t="s">
        <v>32</v>
      </c>
      <c r="O23" s="27">
        <f>E94</f>
        <v>75</v>
      </c>
      <c r="P23" s="73">
        <f>K94</f>
        <v>86</v>
      </c>
      <c r="Q23" s="29">
        <f aca="true" t="shared" si="3" ref="Q23:Q28">P23/O23</f>
        <v>1.1466666666666667</v>
      </c>
      <c r="R23" s="63"/>
      <c r="U23" s="161"/>
      <c r="W23" s="49" t="s">
        <v>86</v>
      </c>
      <c r="X23" s="28" t="s">
        <v>146</v>
      </c>
      <c r="Y23" s="28">
        <v>1096</v>
      </c>
      <c r="Z23" s="22"/>
      <c r="AA23" s="22"/>
      <c r="AB23" s="139">
        <f t="shared" si="1"/>
        <v>1096</v>
      </c>
    </row>
    <row r="24" spans="2:28" ht="15" customHeight="1" thickTop="1">
      <c r="B24" s="107">
        <f>'[1]POOL-joueus'!$B$14</f>
        <v>25.92876712328767</v>
      </c>
      <c r="C24" s="107" t="str">
        <f>'[1]POOL-joueus'!$C$14</f>
        <v>Atl</v>
      </c>
      <c r="D24" s="124" t="str">
        <f>'[1]POOL-joueus'!$D$14</f>
        <v>Ilya Kovalchuk</v>
      </c>
      <c r="E24" s="107">
        <f>'[1]POOL-joueus'!$E$14</f>
        <v>68</v>
      </c>
      <c r="F24" s="107">
        <f>'[1]POOL-joueus'!$F$14</f>
        <v>36</v>
      </c>
      <c r="G24" s="107">
        <f>'[1]POOL-joueus'!$G$14</f>
        <v>42</v>
      </c>
      <c r="H24" s="44">
        <f aca="true" t="shared" si="4" ref="H24:H39">SUM(F24:G24)</f>
        <v>78</v>
      </c>
      <c r="I24" s="45">
        <f aca="true" t="shared" si="5" ref="I24:I39">H24/E24</f>
        <v>1.1470588235294117</v>
      </c>
      <c r="J24" s="7"/>
      <c r="K24" s="7"/>
      <c r="L24" s="7"/>
      <c r="M24" s="8"/>
      <c r="N24" s="26" t="s">
        <v>33</v>
      </c>
      <c r="O24" s="27">
        <f>E108</f>
        <v>211</v>
      </c>
      <c r="P24" s="73">
        <f>H108</f>
        <v>115</v>
      </c>
      <c r="Q24" s="29">
        <f t="shared" si="3"/>
        <v>0.5450236966824644</v>
      </c>
      <c r="R24" s="63"/>
      <c r="U24" s="161"/>
      <c r="W24" s="49" t="s">
        <v>87</v>
      </c>
      <c r="X24" s="28" t="s">
        <v>150</v>
      </c>
      <c r="Y24" s="28">
        <v>496</v>
      </c>
      <c r="Z24" s="22"/>
      <c r="AA24" s="22"/>
      <c r="AB24" s="139">
        <f t="shared" si="1"/>
        <v>496</v>
      </c>
    </row>
    <row r="25" spans="2:28" ht="15" customHeight="1">
      <c r="B25" s="107">
        <f>'[1]POOL-joueus'!$B$7</f>
        <v>31.720547945205478</v>
      </c>
      <c r="C25" s="107" t="str">
        <f>'[1]POOL-joueus'!$C$7</f>
        <v>Cgy</v>
      </c>
      <c r="D25" s="124" t="str">
        <f>'[1]POOL-joueus'!$D$7</f>
        <v>Jarome Iginla</v>
      </c>
      <c r="E25" s="107">
        <f>'[1]POOL-joueus'!$E$7</f>
        <v>68</v>
      </c>
      <c r="F25" s="107">
        <f>'[1]POOL-joueus'!$F$7</f>
        <v>30</v>
      </c>
      <c r="G25" s="107">
        <f>'[1]POOL-joueus'!$G$7</f>
        <v>48</v>
      </c>
      <c r="H25" s="44">
        <f t="shared" si="4"/>
        <v>78</v>
      </c>
      <c r="I25" s="45">
        <f t="shared" si="5"/>
        <v>1.1470588235294117</v>
      </c>
      <c r="J25" s="7"/>
      <c r="K25" s="7"/>
      <c r="L25" s="7"/>
      <c r="M25" s="8"/>
      <c r="N25" s="26" t="s">
        <v>34</v>
      </c>
      <c r="O25" s="27">
        <f>E118</f>
        <v>147</v>
      </c>
      <c r="P25" s="73">
        <f>H118</f>
        <v>112</v>
      </c>
      <c r="Q25" s="29">
        <f t="shared" si="3"/>
        <v>0.7619047619047619</v>
      </c>
      <c r="R25" s="63"/>
      <c r="U25" s="161"/>
      <c r="W25" s="49" t="s">
        <v>112</v>
      </c>
      <c r="X25" s="73" t="s">
        <v>95</v>
      </c>
      <c r="Y25" s="28">
        <v>81</v>
      </c>
      <c r="Z25" s="22"/>
      <c r="AA25" s="22"/>
      <c r="AB25" s="139">
        <f t="shared" si="1"/>
        <v>81</v>
      </c>
    </row>
    <row r="26" spans="2:28" ht="15" customHeight="1">
      <c r="B26" s="107">
        <f>'[1]POOL-joueus'!$B$89</f>
        <v>23.84109589041096</v>
      </c>
      <c r="C26" s="107" t="str">
        <f>'[1]POOL-joueus'!$C$89</f>
        <v>Ana</v>
      </c>
      <c r="D26" s="124" t="str">
        <f>'[1]POOL-joueus'!$D$89</f>
        <v>Corey Perry</v>
      </c>
      <c r="E26" s="107">
        <f>'[1]POOL-joueus'!$E$89</f>
        <v>64</v>
      </c>
      <c r="F26" s="107">
        <f>'[1]POOL-joueus'!$F$89</f>
        <v>23</v>
      </c>
      <c r="G26" s="107">
        <f>'[1]POOL-joueus'!$G$89</f>
        <v>34</v>
      </c>
      <c r="H26" s="44">
        <f t="shared" si="4"/>
        <v>57</v>
      </c>
      <c r="I26" s="45">
        <f t="shared" si="5"/>
        <v>0.890625</v>
      </c>
      <c r="J26" s="7"/>
      <c r="K26" s="7"/>
      <c r="L26" s="7"/>
      <c r="M26" s="8"/>
      <c r="N26" s="26" t="s">
        <v>35</v>
      </c>
      <c r="O26" s="27">
        <f>E129</f>
        <v>143</v>
      </c>
      <c r="P26" s="73">
        <f>H129</f>
        <v>52</v>
      </c>
      <c r="Q26" s="29">
        <f t="shared" si="3"/>
        <v>0.36363636363636365</v>
      </c>
      <c r="R26" s="63"/>
      <c r="U26" s="161"/>
      <c r="W26" s="49" t="s">
        <v>88</v>
      </c>
      <c r="X26" s="28" t="s">
        <v>150</v>
      </c>
      <c r="Y26" s="28">
        <v>8</v>
      </c>
      <c r="Z26" s="22"/>
      <c r="AA26" s="22"/>
      <c r="AB26" s="139">
        <f t="shared" si="1"/>
        <v>8</v>
      </c>
    </row>
    <row r="27" spans="2:28" ht="15" customHeight="1" thickBot="1">
      <c r="B27" s="107">
        <f>'[1]POOL-joueus'!$B$85</f>
        <v>35.64383561643836</v>
      </c>
      <c r="C27" s="107" t="str">
        <f>'[1]POOL-joueus'!$C$85</f>
        <v>Nyr</v>
      </c>
      <c r="D27" s="124" t="str">
        <f>'[1]POOL-joueus'!$D$85</f>
        <v>Markus Naslund</v>
      </c>
      <c r="E27" s="107">
        <f>'[1]POOL-joueus'!$E$85</f>
        <v>68</v>
      </c>
      <c r="F27" s="107">
        <f>'[1]POOL-joueus'!$F$85</f>
        <v>21</v>
      </c>
      <c r="G27" s="107">
        <f>'[1]POOL-joueus'!$G$85</f>
        <v>19</v>
      </c>
      <c r="H27" s="44">
        <f t="shared" si="4"/>
        <v>40</v>
      </c>
      <c r="I27" s="45">
        <f t="shared" si="5"/>
        <v>0.5882352941176471</v>
      </c>
      <c r="J27" s="7"/>
      <c r="K27" s="7"/>
      <c r="L27" s="7"/>
      <c r="M27" s="8"/>
      <c r="N27" s="38" t="s">
        <v>36</v>
      </c>
      <c r="O27" s="117">
        <f>E148</f>
        <v>85</v>
      </c>
      <c r="P27" s="74">
        <f>H148</f>
        <v>22</v>
      </c>
      <c r="Q27" s="41">
        <f t="shared" si="3"/>
        <v>0.25882352941176473</v>
      </c>
      <c r="R27" s="64"/>
      <c r="U27" s="161"/>
      <c r="W27" s="49" t="s">
        <v>160</v>
      </c>
      <c r="X27" s="28" t="s">
        <v>149</v>
      </c>
      <c r="Y27" s="28">
        <v>16</v>
      </c>
      <c r="Z27" s="22"/>
      <c r="AA27" s="22"/>
      <c r="AB27" s="139">
        <f t="shared" si="1"/>
        <v>16</v>
      </c>
    </row>
    <row r="28" spans="2:28" ht="15" customHeight="1">
      <c r="B28" s="183">
        <f>'[1]POOL-joueus'!$B$155</f>
        <v>34.131506849315066</v>
      </c>
      <c r="C28" s="183" t="str">
        <f>'[1]POOL-joueus'!$C$155</f>
        <v>Cgy</v>
      </c>
      <c r="D28" s="184" t="str">
        <f>'[1]POOL-joueus'!$D$155</f>
        <v>Todd Bertuzzi</v>
      </c>
      <c r="E28" s="183">
        <v>45</v>
      </c>
      <c r="F28" s="183">
        <v>8</v>
      </c>
      <c r="G28" s="183">
        <v>26</v>
      </c>
      <c r="H28" s="187">
        <f t="shared" si="4"/>
        <v>34</v>
      </c>
      <c r="I28" s="188">
        <f t="shared" si="5"/>
        <v>0.7555555555555555</v>
      </c>
      <c r="J28" s="7"/>
      <c r="K28" s="7"/>
      <c r="L28" s="7"/>
      <c r="M28" s="8"/>
      <c r="N28" s="42" t="s">
        <v>37</v>
      </c>
      <c r="O28" s="22">
        <f>SUM(O22:O27)</f>
        <v>728</v>
      </c>
      <c r="P28" s="72">
        <f>SUM(P22:P27)</f>
        <v>434</v>
      </c>
      <c r="Q28" s="23">
        <f t="shared" si="3"/>
        <v>0.5961538461538461</v>
      </c>
      <c r="R28" s="22">
        <f>'[2]Individuel'!$I$61</f>
        <v>420.7</v>
      </c>
      <c r="U28" s="161"/>
      <c r="W28" s="49" t="s">
        <v>161</v>
      </c>
      <c r="X28" s="28" t="s">
        <v>146</v>
      </c>
      <c r="Y28" s="28">
        <v>64</v>
      </c>
      <c r="Z28" s="22"/>
      <c r="AA28" s="22"/>
      <c r="AB28" s="139">
        <f t="shared" si="1"/>
        <v>64</v>
      </c>
    </row>
    <row r="29" spans="2:28" ht="15" customHeight="1" thickBot="1">
      <c r="B29" s="109">
        <f>'[1]POOL-joueus'!$B$71</f>
        <v>36.983561643835614</v>
      </c>
      <c r="C29" s="109" t="str">
        <f>'[1]POOL-joueus'!$C$71</f>
        <v>Stl</v>
      </c>
      <c r="D29" s="111" t="str">
        <f>'[1]POOL-joueus'!$D$71</f>
        <v>Keith Tkachuk</v>
      </c>
      <c r="E29" s="109">
        <f>('[1]POOL-joueus'!$E$71)-2</f>
        <v>63</v>
      </c>
      <c r="F29" s="109">
        <f>('[1]POOL-joueus'!$F$71)-3</f>
        <v>17</v>
      </c>
      <c r="G29" s="109">
        <f>('[1]POOL-joueus'!$G$71)-0</f>
        <v>18</v>
      </c>
      <c r="H29" s="44">
        <f t="shared" si="4"/>
        <v>35</v>
      </c>
      <c r="I29" s="45">
        <f t="shared" si="5"/>
        <v>0.5555555555555556</v>
      </c>
      <c r="J29" s="7"/>
      <c r="K29" s="7"/>
      <c r="L29" s="7"/>
      <c r="M29" s="8"/>
      <c r="U29" s="161"/>
      <c r="W29" s="49" t="s">
        <v>165</v>
      </c>
      <c r="X29" s="43" t="s">
        <v>152</v>
      </c>
      <c r="Y29" s="28">
        <v>29.5</v>
      </c>
      <c r="Z29" s="28"/>
      <c r="AA29" s="28"/>
      <c r="AB29" s="160"/>
    </row>
    <row r="30" spans="2:28" ht="15" customHeight="1">
      <c r="B30" s="106">
        <f>'[1]POOL-joueus'!$B$110</f>
        <v>29.482191780821918</v>
      </c>
      <c r="C30" s="106" t="str">
        <f>'[1]POOL-joueus'!$C$110</f>
        <v>Pit</v>
      </c>
      <c r="D30" s="126" t="str">
        <f>'[1]POOL-joueus'!$D$110</f>
        <v>Chris Kunitz</v>
      </c>
      <c r="E30" s="107">
        <f>('[1]POOL-joueus'!$E$110)-1</f>
        <v>68</v>
      </c>
      <c r="F30" s="107">
        <f>('[1]POOL-joueus'!$F$110)-1</f>
        <v>18</v>
      </c>
      <c r="G30" s="107">
        <f>('[1]POOL-joueus'!$G$110)</f>
        <v>24</v>
      </c>
      <c r="H30" s="44">
        <f t="shared" si="4"/>
        <v>42</v>
      </c>
      <c r="I30" s="45">
        <f t="shared" si="5"/>
        <v>0.6176470588235294</v>
      </c>
      <c r="J30" s="7"/>
      <c r="K30" s="7"/>
      <c r="L30" s="7"/>
      <c r="M30" s="8"/>
      <c r="N30" s="265" t="s">
        <v>60</v>
      </c>
      <c r="O30" s="266"/>
      <c r="P30" s="266"/>
      <c r="Q30" s="266"/>
      <c r="R30" s="267"/>
      <c r="U30" s="161"/>
      <c r="W30" s="159"/>
      <c r="X30" s="298" t="s">
        <v>158</v>
      </c>
      <c r="Y30" s="299"/>
      <c r="Z30" s="298" t="s">
        <v>158</v>
      </c>
      <c r="AA30" s="299"/>
      <c r="AB30" s="160"/>
    </row>
    <row r="31" spans="2:28" ht="15" customHeight="1" thickBot="1">
      <c r="B31" s="183">
        <f>'[1]POOL-joueus'!$B$170</f>
        <v>35.74246575342466</v>
      </c>
      <c r="C31" s="183" t="str">
        <f>'[1]POOL-joueus'!$C$170</f>
        <v>Dal</v>
      </c>
      <c r="D31" s="184" t="str">
        <f>'[1]POOL-joueus'!$D$170</f>
        <v>Jere Lehtinen</v>
      </c>
      <c r="E31" s="183">
        <v>25</v>
      </c>
      <c r="F31" s="183">
        <v>8</v>
      </c>
      <c r="G31" s="183">
        <v>10</v>
      </c>
      <c r="H31" s="187">
        <f t="shared" si="4"/>
        <v>18</v>
      </c>
      <c r="I31" s="188">
        <f t="shared" si="5"/>
        <v>0.72</v>
      </c>
      <c r="J31" s="7"/>
      <c r="K31" s="7"/>
      <c r="L31" s="7"/>
      <c r="M31" s="8"/>
      <c r="N31" s="16" t="s">
        <v>8</v>
      </c>
      <c r="O31" s="17" t="s">
        <v>9</v>
      </c>
      <c r="P31" s="17" t="s">
        <v>62</v>
      </c>
      <c r="Q31" s="18" t="s">
        <v>11</v>
      </c>
      <c r="R31" s="19" t="s">
        <v>68</v>
      </c>
      <c r="U31" s="161"/>
      <c r="W31" s="49" t="s">
        <v>167</v>
      </c>
      <c r="X31" s="259">
        <v>3</v>
      </c>
      <c r="Y31" s="260"/>
      <c r="Z31" s="259"/>
      <c r="AA31" s="260"/>
      <c r="AB31" s="140">
        <f>X31+Z31</f>
        <v>3</v>
      </c>
    </row>
    <row r="32" spans="2:28" ht="15" customHeight="1" thickTop="1">
      <c r="B32" s="108">
        <f>'[1]POOL-joueus'!$B$221</f>
        <v>26.087671232876712</v>
      </c>
      <c r="C32" s="108" t="str">
        <f>'[1]POOL-joueus'!$C$221</f>
        <v>Car</v>
      </c>
      <c r="D32" s="110" t="str">
        <f>'[1]POOL-joueus'!$D$221</f>
        <v>Tuomo Ruutu</v>
      </c>
      <c r="E32" s="108">
        <f>(('[1]POOL-joueus'!$E$221))-62</f>
        <v>5</v>
      </c>
      <c r="F32" s="108">
        <f>(('[1]POOL-joueus'!$F$221))-17</f>
        <v>4</v>
      </c>
      <c r="G32" s="108">
        <f>(('[1]POOL-joueus'!$G$221))-22</f>
        <v>3</v>
      </c>
      <c r="H32" s="44">
        <f>SUM(F32:G32)</f>
        <v>7</v>
      </c>
      <c r="I32" s="45">
        <f>H32/E32</f>
        <v>1.4</v>
      </c>
      <c r="J32" s="7"/>
      <c r="K32" s="7"/>
      <c r="L32" s="7"/>
      <c r="M32" s="8"/>
      <c r="N32" s="20" t="s">
        <v>21</v>
      </c>
      <c r="O32" s="69"/>
      <c r="P32" s="22">
        <f>F39+F51+F63+F75</f>
        <v>327</v>
      </c>
      <c r="Q32" s="23">
        <f>P32/O34</f>
        <v>0.24132841328413285</v>
      </c>
      <c r="R32" s="22">
        <f>'[2]Individuel'!$D$47</f>
        <v>320.7</v>
      </c>
      <c r="U32" s="161"/>
      <c r="W32" s="49" t="s">
        <v>168</v>
      </c>
      <c r="X32" s="259">
        <v>1</v>
      </c>
      <c r="Y32" s="260"/>
      <c r="Z32" s="259">
        <v>4</v>
      </c>
      <c r="AA32" s="260"/>
      <c r="AB32" s="140">
        <f>X32+Z32</f>
        <v>5</v>
      </c>
    </row>
    <row r="33" spans="1:28" ht="15" customHeight="1">
      <c r="A33" s="1" t="s">
        <v>237</v>
      </c>
      <c r="B33" s="180">
        <f>'[1]POOL-joueus'!$B$622</f>
        <v>22.235616438356164</v>
      </c>
      <c r="C33" s="180" t="str">
        <f>'[1]POOL-joueus'!$C$622</f>
        <v>Stl</v>
      </c>
      <c r="D33" s="181" t="str">
        <f>'[1]POOL-joueus'!$D$622</f>
        <v>T.J. Oshie</v>
      </c>
      <c r="E33" s="180">
        <v>8</v>
      </c>
      <c r="F33" s="180">
        <v>3</v>
      </c>
      <c r="G33" s="180">
        <v>4</v>
      </c>
      <c r="H33" s="187">
        <f t="shared" si="4"/>
        <v>7</v>
      </c>
      <c r="I33" s="188">
        <f t="shared" si="5"/>
        <v>0.875</v>
      </c>
      <c r="J33" s="7"/>
      <c r="K33" s="7"/>
      <c r="L33" s="7"/>
      <c r="M33" s="8"/>
      <c r="N33" s="26" t="s">
        <v>30</v>
      </c>
      <c r="O33" s="69"/>
      <c r="P33" s="28">
        <f>G39+G51+G63+G75</f>
        <v>574</v>
      </c>
      <c r="Q33" s="29">
        <f>P33/O34</f>
        <v>0.4236162361623616</v>
      </c>
      <c r="R33" s="28">
        <f>'[2]Individuel'!$I$47</f>
        <v>539.3</v>
      </c>
      <c r="U33" s="161"/>
      <c r="W33" s="49" t="s">
        <v>89</v>
      </c>
      <c r="X33" s="259">
        <v>1</v>
      </c>
      <c r="Y33" s="260"/>
      <c r="Z33" s="259"/>
      <c r="AA33" s="260"/>
      <c r="AB33" s="140">
        <f>X33+Z33</f>
        <v>1</v>
      </c>
    </row>
    <row r="34" spans="2:28" ht="15" customHeight="1">
      <c r="B34" s="180">
        <f>'[1]POOL-joueus'!$B$243</f>
        <v>23.265753424657536</v>
      </c>
      <c r="C34" s="180" t="str">
        <f>'[1]POOL-joueus'!$C$243</f>
        <v>Chi</v>
      </c>
      <c r="D34" s="181" t="str">
        <f>'[1]POOL-joueus'!$D$243</f>
        <v>Andrew Ladd</v>
      </c>
      <c r="E34" s="180">
        <v>8</v>
      </c>
      <c r="F34" s="180">
        <v>0</v>
      </c>
      <c r="G34" s="180">
        <v>3</v>
      </c>
      <c r="H34" s="187">
        <f t="shared" si="4"/>
        <v>3</v>
      </c>
      <c r="I34" s="188">
        <f t="shared" si="5"/>
        <v>0.375</v>
      </c>
      <c r="J34" s="7"/>
      <c r="K34" s="7"/>
      <c r="L34" s="7"/>
      <c r="M34" s="8"/>
      <c r="N34" s="26" t="s">
        <v>55</v>
      </c>
      <c r="O34" s="27">
        <f>E39+E51+E63+E75</f>
        <v>1355</v>
      </c>
      <c r="P34" s="28">
        <f>SUM(P32:P33)</f>
        <v>901</v>
      </c>
      <c r="Q34" s="29">
        <f>P34/O34</f>
        <v>0.6649446494464945</v>
      </c>
      <c r="R34" s="28">
        <f>'[2]Individuel'!$N$47</f>
        <v>860</v>
      </c>
      <c r="U34" s="161"/>
      <c r="W34" s="49" t="s">
        <v>194</v>
      </c>
      <c r="X34" s="259">
        <v>0</v>
      </c>
      <c r="Y34" s="260"/>
      <c r="Z34" s="259"/>
      <c r="AA34" s="260"/>
      <c r="AB34" s="140">
        <f>X34+Z34</f>
        <v>0</v>
      </c>
    </row>
    <row r="35" spans="2:28" ht="15" customHeight="1">
      <c r="B35" s="109">
        <f>'[1]POOL-joueus'!$B$182</f>
        <v>28.605479452054794</v>
      </c>
      <c r="C35" s="109" t="str">
        <f>'[1]POOL-joueus'!$C$182</f>
        <v>Cbj</v>
      </c>
      <c r="D35" s="111" t="str">
        <f>'[1]POOL-joueus'!$D$182</f>
        <v>Jason Williams</v>
      </c>
      <c r="E35" s="109">
        <f>('[1]POOL-joueus'!$E$182)-25</f>
        <v>41</v>
      </c>
      <c r="F35" s="109">
        <f>('[1]POOL-joueus'!$F$182)-7</f>
        <v>8</v>
      </c>
      <c r="G35" s="109">
        <f>('[1]POOL-joueus'!$G$182)-10</f>
        <v>12</v>
      </c>
      <c r="H35" s="44">
        <f t="shared" si="4"/>
        <v>20</v>
      </c>
      <c r="I35" s="45">
        <f t="shared" si="5"/>
        <v>0.4878048780487805</v>
      </c>
      <c r="J35" s="7"/>
      <c r="K35" s="7"/>
      <c r="L35" s="7"/>
      <c r="M35" s="8"/>
      <c r="N35" s="26" t="s">
        <v>56</v>
      </c>
      <c r="O35" s="67"/>
      <c r="P35" s="63"/>
      <c r="Q35" s="68"/>
      <c r="R35" s="29">
        <f>'[2]Individuel'!$D$61</f>
        <v>0.6703402518874818</v>
      </c>
      <c r="U35" s="161"/>
      <c r="W35" s="49" t="s">
        <v>132</v>
      </c>
      <c r="X35" s="268">
        <v>35</v>
      </c>
      <c r="Y35" s="269"/>
      <c r="Z35" s="268"/>
      <c r="AA35" s="269"/>
      <c r="AB35" s="157">
        <f>X35+Z35</f>
        <v>35</v>
      </c>
    </row>
    <row r="36" spans="2:21" ht="15" customHeight="1">
      <c r="B36" s="185">
        <f>'[1]POOL-joueus'!$B$54</f>
        <v>34.43013698630137</v>
      </c>
      <c r="C36" s="185" t="str">
        <f>'[1]POOL-joueus'!$C$54</f>
        <v>Stl</v>
      </c>
      <c r="D36" s="186" t="str">
        <f>'[1]POOL-joueus'!$D$54</f>
        <v>Paul Kariya</v>
      </c>
      <c r="E36" s="185">
        <f>('[1]POOL-joueus'!$E$54)</f>
        <v>11</v>
      </c>
      <c r="F36" s="185">
        <f>('[1]POOL-joueus'!$F$54)</f>
        <v>2</v>
      </c>
      <c r="G36" s="185">
        <f>('[1]POOL-joueus'!$G$54)</f>
        <v>13</v>
      </c>
      <c r="H36" s="187">
        <f t="shared" si="4"/>
        <v>15</v>
      </c>
      <c r="I36" s="188">
        <f t="shared" si="5"/>
        <v>1.3636363636363635</v>
      </c>
      <c r="J36" s="7"/>
      <c r="K36" s="7"/>
      <c r="L36" s="7"/>
      <c r="M36" s="8"/>
      <c r="N36" s="26" t="s">
        <v>57</v>
      </c>
      <c r="O36" s="27">
        <f>E20+E69</f>
        <v>121</v>
      </c>
      <c r="P36" s="28">
        <f>F20+F69</f>
        <v>67</v>
      </c>
      <c r="Q36" s="29">
        <f>P36/O36</f>
        <v>0.5537190082644629</v>
      </c>
      <c r="R36" s="28">
        <f>'[2]Individuel'!$D$75</f>
        <v>59.9</v>
      </c>
      <c r="U36" s="161"/>
    </row>
    <row r="37" spans="2:29" ht="15" customHeight="1">
      <c r="B37" s="189">
        <f>'[1]POOL-joueus'!$B$78</f>
        <v>27.767123287671232</v>
      </c>
      <c r="C37" s="189" t="str">
        <f>'[1]POOL-joueus'!$C$78</f>
        <v>T.B.</v>
      </c>
      <c r="D37" s="190" t="str">
        <f>'[1]POOL-joueus'!$D$78</f>
        <v>Radim Vrbata</v>
      </c>
      <c r="E37" s="189">
        <v>3</v>
      </c>
      <c r="F37" s="189">
        <v>0</v>
      </c>
      <c r="G37" s="189">
        <v>0</v>
      </c>
      <c r="H37" s="187">
        <f t="shared" si="4"/>
        <v>0</v>
      </c>
      <c r="I37" s="188">
        <f t="shared" si="5"/>
        <v>0</v>
      </c>
      <c r="J37" s="7"/>
      <c r="K37" s="7"/>
      <c r="L37" s="7"/>
      <c r="M37" s="8"/>
      <c r="N37" s="34" t="s">
        <v>58</v>
      </c>
      <c r="O37" s="27">
        <f>E20+E69</f>
        <v>121</v>
      </c>
      <c r="P37" s="28">
        <f>H20+H69</f>
        <v>9</v>
      </c>
      <c r="Q37" s="29">
        <f>P37/O37</f>
        <v>0.0743801652892562</v>
      </c>
      <c r="R37" s="28">
        <f>'[2]Individuel'!$I$75</f>
        <v>7.1</v>
      </c>
      <c r="U37" s="161"/>
      <c r="V37" s="161"/>
      <c r="W37" s="161"/>
      <c r="X37" s="161"/>
      <c r="Y37" s="161"/>
      <c r="Z37" s="161"/>
      <c r="AA37" s="161"/>
      <c r="AB37" s="161"/>
      <c r="AC37" s="161"/>
    </row>
    <row r="38" spans="2:21" ht="15" customHeight="1" thickBot="1">
      <c r="B38" s="107"/>
      <c r="C38" s="107"/>
      <c r="D38" s="124"/>
      <c r="E38" s="123"/>
      <c r="F38" s="123"/>
      <c r="G38" s="123"/>
      <c r="H38" s="37">
        <f t="shared" si="4"/>
        <v>0</v>
      </c>
      <c r="I38" s="46" t="e">
        <f t="shared" si="5"/>
        <v>#DIV/0!</v>
      </c>
      <c r="J38" s="7"/>
      <c r="K38" s="7"/>
      <c r="L38" s="7"/>
      <c r="M38" s="8"/>
      <c r="N38" s="26" t="s">
        <v>59</v>
      </c>
      <c r="O38" s="27">
        <f>E20+E69</f>
        <v>121</v>
      </c>
      <c r="P38" s="28">
        <f>G20+G69</f>
        <v>11</v>
      </c>
      <c r="Q38" s="29">
        <f>P38/O38</f>
        <v>0.09090909090909091</v>
      </c>
      <c r="R38" s="28">
        <f>'[2]Individuel'!$N$75</f>
        <v>13.6</v>
      </c>
      <c r="U38" s="161"/>
    </row>
    <row r="39" spans="2:21" ht="15" customHeight="1" thickBot="1">
      <c r="B39" s="274" t="s">
        <v>26</v>
      </c>
      <c r="C39" s="275"/>
      <c r="D39" s="255"/>
      <c r="E39" s="14">
        <f>SUM(E24:E38)</f>
        <v>545</v>
      </c>
      <c r="F39" s="14">
        <f>SUM(F24:F38)</f>
        <v>178</v>
      </c>
      <c r="G39" s="14">
        <f>SUM(G24:G38)</f>
        <v>256</v>
      </c>
      <c r="H39" s="33">
        <f t="shared" si="4"/>
        <v>434</v>
      </c>
      <c r="I39" s="50">
        <f t="shared" si="5"/>
        <v>0.7963302752293578</v>
      </c>
      <c r="J39" s="7"/>
      <c r="K39" s="7"/>
      <c r="L39" s="7"/>
      <c r="M39" s="8"/>
      <c r="N39" s="26" t="s">
        <v>38</v>
      </c>
      <c r="O39" s="70">
        <f>(B16+B19+B24+B25+B26+B27+B28+B29+B35+B37+B43+B44+B45+B49+B55+B56+B57+B58+B61+B62+B72+B74+B90+B91+B98+B103+B104+B105+B106+B112+B114+B116+B139+B141+B142+B144+B122+B123+B124)/39</f>
        <v>28.591289076220583</v>
      </c>
      <c r="P39" s="61"/>
      <c r="Q39" s="62"/>
      <c r="R39" s="63"/>
      <c r="U39" s="161"/>
    </row>
    <row r="40" spans="2:28" ht="1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  <c r="N40" s="34" t="s">
        <v>39</v>
      </c>
      <c r="O40" s="70"/>
      <c r="P40" s="61"/>
      <c r="Q40" s="62"/>
      <c r="R40" s="63"/>
      <c r="U40" s="161"/>
      <c r="W40" s="265" t="s">
        <v>170</v>
      </c>
      <c r="X40" s="266"/>
      <c r="Y40" s="266"/>
      <c r="Z40" s="266"/>
      <c r="AA40" s="266"/>
      <c r="AB40" s="267"/>
    </row>
    <row r="41" spans="2:28" ht="15" customHeight="1" thickBot="1">
      <c r="B41" s="256" t="s">
        <v>24</v>
      </c>
      <c r="C41" s="257"/>
      <c r="D41" s="257"/>
      <c r="E41" s="257"/>
      <c r="F41" s="257"/>
      <c r="G41" s="257"/>
      <c r="H41" s="257"/>
      <c r="I41" s="258"/>
      <c r="J41" s="7"/>
      <c r="K41" s="7"/>
      <c r="L41" s="7"/>
      <c r="M41" s="8"/>
      <c r="N41" s="26" t="s">
        <v>40</v>
      </c>
      <c r="O41" s="70">
        <f>(B16+B19+B24+B25+B26+B27+B28+B29+B35+B37+B43+B44+B45+B49+B55+B56+B57+B58+B61+B62+B72+B74)/22</f>
        <v>28.582191780821915</v>
      </c>
      <c r="P41" s="59"/>
      <c r="Q41" s="60"/>
      <c r="R41" s="125" t="e">
        <f>'[2]Individuel'!$N$61</f>
        <v>#REF!</v>
      </c>
      <c r="U41" s="161"/>
      <c r="W41" s="65" t="s">
        <v>8</v>
      </c>
      <c r="X41" s="66" t="s">
        <v>9</v>
      </c>
      <c r="Y41" s="66" t="s">
        <v>10</v>
      </c>
      <c r="Z41" s="65" t="s">
        <v>11</v>
      </c>
      <c r="AA41" s="65" t="s">
        <v>68</v>
      </c>
      <c r="AB41" s="65" t="s">
        <v>41</v>
      </c>
    </row>
    <row r="42" spans="2:28" ht="15" customHeight="1" thickBot="1" thickTop="1">
      <c r="B42" s="30" t="s">
        <v>15</v>
      </c>
      <c r="C42" s="30" t="s">
        <v>29</v>
      </c>
      <c r="D42" s="30" t="s">
        <v>17</v>
      </c>
      <c r="E42" s="31" t="s">
        <v>2</v>
      </c>
      <c r="F42" s="31" t="s">
        <v>21</v>
      </c>
      <c r="G42" s="31" t="s">
        <v>30</v>
      </c>
      <c r="H42" s="32" t="s">
        <v>6</v>
      </c>
      <c r="I42" s="31" t="s">
        <v>11</v>
      </c>
      <c r="J42" s="7"/>
      <c r="K42" s="7"/>
      <c r="L42" s="7"/>
      <c r="M42" s="8"/>
      <c r="U42" s="161"/>
      <c r="W42" s="48" t="s">
        <v>42</v>
      </c>
      <c r="X42" s="21">
        <v>251</v>
      </c>
      <c r="Y42" s="22">
        <v>231</v>
      </c>
      <c r="Z42" s="23">
        <f aca="true" t="shared" si="6" ref="Z42:Z48">Y42/X42</f>
        <v>0.9203187250996016</v>
      </c>
      <c r="AA42" s="22">
        <v>191.9</v>
      </c>
      <c r="AB42" s="22" t="s">
        <v>95</v>
      </c>
    </row>
    <row r="43" spans="2:28" ht="15" customHeight="1" thickTop="1">
      <c r="B43" s="107">
        <f>'[1]POOL-joueus'!$B$55</f>
        <v>26.923287671232877</v>
      </c>
      <c r="C43" s="107" t="str">
        <f>'[1]POOL-joueus'!$C$55</f>
        <v>Stl</v>
      </c>
      <c r="D43" s="124" t="str">
        <f>'[1]POOL-joueus'!$D$55</f>
        <v>Brad Boyes</v>
      </c>
      <c r="E43" s="107">
        <f>'[1]POOL-joueus'!$E$55</f>
        <v>67</v>
      </c>
      <c r="F43" s="107">
        <f>'[1]POOL-joueus'!$F$55</f>
        <v>28</v>
      </c>
      <c r="G43" s="107">
        <f>'[1]POOL-joueus'!$G$55</f>
        <v>29</v>
      </c>
      <c r="H43" s="44">
        <f aca="true" t="shared" si="7" ref="H43:H51">SUM(F43:G43)</f>
        <v>57</v>
      </c>
      <c r="I43" s="45">
        <f aca="true" t="shared" si="8" ref="I43:I51">H43/E43</f>
        <v>0.8507462686567164</v>
      </c>
      <c r="J43" s="7"/>
      <c r="K43" s="7"/>
      <c r="L43" s="7"/>
      <c r="M43" s="8"/>
      <c r="N43" s="265" t="s">
        <v>61</v>
      </c>
      <c r="O43" s="266"/>
      <c r="P43" s="266"/>
      <c r="Q43" s="266"/>
      <c r="R43" s="266"/>
      <c r="S43" s="267"/>
      <c r="T43" s="53"/>
      <c r="U43" s="161"/>
      <c r="W43" s="49" t="s">
        <v>43</v>
      </c>
      <c r="X43" s="21">
        <v>305</v>
      </c>
      <c r="Y43" s="22">
        <v>192</v>
      </c>
      <c r="Z43" s="23">
        <f t="shared" si="6"/>
        <v>0.6295081967213115</v>
      </c>
      <c r="AA43" s="22">
        <v>207.1</v>
      </c>
      <c r="AB43" s="28" t="s">
        <v>154</v>
      </c>
    </row>
    <row r="44" spans="2:28" ht="15" customHeight="1" thickBot="1">
      <c r="B44" s="185">
        <f>'[1]POOL-joueus'!$B$52</f>
        <v>32.47945205479452</v>
      </c>
      <c r="C44" s="185" t="str">
        <f>'[1]POOL-joueus'!$C$52</f>
        <v>Cgy</v>
      </c>
      <c r="D44" s="186" t="str">
        <f>'[1]POOL-joueus'!$D$52</f>
        <v>Daymond Langkow</v>
      </c>
      <c r="E44" s="185">
        <v>57</v>
      </c>
      <c r="F44" s="185">
        <v>18</v>
      </c>
      <c r="G44" s="185">
        <v>24</v>
      </c>
      <c r="H44" s="187">
        <f t="shared" si="7"/>
        <v>42</v>
      </c>
      <c r="I44" s="188">
        <f t="shared" si="8"/>
        <v>0.7368421052631579</v>
      </c>
      <c r="J44" s="7"/>
      <c r="K44" s="7"/>
      <c r="L44" s="7"/>
      <c r="M44" s="8"/>
      <c r="N44" s="65" t="s">
        <v>8</v>
      </c>
      <c r="O44" s="66" t="s">
        <v>9</v>
      </c>
      <c r="P44" s="66" t="s">
        <v>10</v>
      </c>
      <c r="Q44" s="65" t="s">
        <v>11</v>
      </c>
      <c r="R44" s="65" t="s">
        <v>68</v>
      </c>
      <c r="S44" s="65" t="s">
        <v>92</v>
      </c>
      <c r="T44" s="164"/>
      <c r="U44" s="161"/>
      <c r="W44" s="49" t="s">
        <v>44</v>
      </c>
      <c r="X44" s="21">
        <v>325</v>
      </c>
      <c r="Y44" s="22">
        <v>255</v>
      </c>
      <c r="Z44" s="23">
        <f t="shared" si="6"/>
        <v>0.7846153846153846</v>
      </c>
      <c r="AA44" s="22">
        <v>226.7</v>
      </c>
      <c r="AB44" s="28" t="s">
        <v>147</v>
      </c>
    </row>
    <row r="45" spans="2:28" ht="15" customHeight="1" thickTop="1">
      <c r="B45" s="107">
        <f>'[1]POOL-joueus'!$B$43</f>
        <v>29.24109589041096</v>
      </c>
      <c r="C45" s="107" t="str">
        <f>'[1]POOL-joueus'!$C$43</f>
        <v>Nyr</v>
      </c>
      <c r="D45" s="124" t="str">
        <f>'[1]POOL-joueus'!$D$43</f>
        <v>Scott Gomez</v>
      </c>
      <c r="E45" s="107">
        <f>'[1]POOL-joueus'!$E$43</f>
        <v>63</v>
      </c>
      <c r="F45" s="107">
        <f>'[1]POOL-joueus'!$F$43</f>
        <v>16</v>
      </c>
      <c r="G45" s="107">
        <f>'[1]POOL-joueus'!$G$43</f>
        <v>35</v>
      </c>
      <c r="H45" s="44">
        <f t="shared" si="7"/>
        <v>51</v>
      </c>
      <c r="I45" s="45">
        <f t="shared" si="8"/>
        <v>0.8095238095238095</v>
      </c>
      <c r="J45" s="7"/>
      <c r="K45" s="7"/>
      <c r="L45" s="7"/>
      <c r="M45" s="8"/>
      <c r="N45" s="48" t="s">
        <v>233</v>
      </c>
      <c r="O45" s="21">
        <v>235</v>
      </c>
      <c r="P45" s="22">
        <v>185</v>
      </c>
      <c r="Q45" s="23">
        <f>P45/O45</f>
        <v>0.7872340425531915</v>
      </c>
      <c r="R45" s="22">
        <v>169.2</v>
      </c>
      <c r="S45" s="22" t="s">
        <v>147</v>
      </c>
      <c r="T45" s="53"/>
      <c r="U45" s="161"/>
      <c r="W45" s="49" t="s">
        <v>45</v>
      </c>
      <c r="X45" s="21">
        <v>283</v>
      </c>
      <c r="Y45" s="22">
        <v>217</v>
      </c>
      <c r="Z45" s="23">
        <f t="shared" si="6"/>
        <v>0.7667844522968198</v>
      </c>
      <c r="AA45" s="22">
        <f>'[2]Classement'!$D$37</f>
        <v>87.2</v>
      </c>
      <c r="AB45" s="28" t="s">
        <v>146</v>
      </c>
    </row>
    <row r="46" spans="2:28" ht="15" customHeight="1">
      <c r="B46" s="109">
        <f>'[1]POOL-joueus'!$B$179</f>
        <v>21.46027397260274</v>
      </c>
      <c r="C46" s="109" t="str">
        <f>'[1]POOL-joueus'!$C$179</f>
        <v>Bos</v>
      </c>
      <c r="D46" s="111" t="str">
        <f>'[1]POOL-joueus'!$D$179</f>
        <v>Phil Kessel</v>
      </c>
      <c r="E46" s="109">
        <f>('[1]POOL-joueus'!$E$179)-21</f>
        <v>42</v>
      </c>
      <c r="F46" s="109">
        <f>('[1]POOL-joueus'!$F$179)-14</f>
        <v>15</v>
      </c>
      <c r="G46" s="109">
        <f>('[1]POOL-joueus'!$G$179)-5</f>
        <v>16</v>
      </c>
      <c r="H46" s="44">
        <f t="shared" si="7"/>
        <v>31</v>
      </c>
      <c r="I46" s="45">
        <f t="shared" si="8"/>
        <v>0.7380952380952381</v>
      </c>
      <c r="J46" s="7"/>
      <c r="K46" s="7"/>
      <c r="L46" s="7"/>
      <c r="M46" s="8"/>
      <c r="N46" s="49" t="s">
        <v>175</v>
      </c>
      <c r="O46" s="21">
        <v>311</v>
      </c>
      <c r="P46" s="22">
        <v>236</v>
      </c>
      <c r="Q46" s="23">
        <f>P46/O46</f>
        <v>0.7588424437299035</v>
      </c>
      <c r="R46" s="22">
        <v>220.7</v>
      </c>
      <c r="S46" s="28" t="s">
        <v>147</v>
      </c>
      <c r="T46" s="53"/>
      <c r="U46" s="161"/>
      <c r="W46" s="49" t="s">
        <v>46</v>
      </c>
      <c r="X46" s="21">
        <v>301</v>
      </c>
      <c r="Y46" s="22">
        <v>233</v>
      </c>
      <c r="Z46" s="23">
        <f t="shared" si="6"/>
        <v>0.7740863787375415</v>
      </c>
      <c r="AA46" s="22">
        <v>207.9</v>
      </c>
      <c r="AB46" s="28" t="s">
        <v>95</v>
      </c>
    </row>
    <row r="47" spans="2:28" ht="15" customHeight="1">
      <c r="B47" s="109">
        <f>'[1]POOL-joueus'!$B$79</f>
        <v>34.326027397260276</v>
      </c>
      <c r="C47" s="109" t="str">
        <f>'[1]POOL-joueus'!$C$79</f>
        <v>Mtl</v>
      </c>
      <c r="D47" s="111" t="str">
        <f>'[1]POOL-joueus'!$D$79</f>
        <v>Saku Koivu</v>
      </c>
      <c r="E47" s="109">
        <f>('[1]POOL-joueus'!$E$79)-14</f>
        <v>37</v>
      </c>
      <c r="F47" s="109">
        <f>('[1]POOL-joueus'!$F$79)-3</f>
        <v>10</v>
      </c>
      <c r="G47" s="109">
        <f>('[1]POOL-joueus'!$G$79)-8</f>
        <v>17</v>
      </c>
      <c r="H47" s="44">
        <f t="shared" si="7"/>
        <v>27</v>
      </c>
      <c r="I47" s="45">
        <f t="shared" si="8"/>
        <v>0.7297297297297297</v>
      </c>
      <c r="J47" s="7"/>
      <c r="K47" s="7"/>
      <c r="L47" s="7"/>
      <c r="M47" s="8"/>
      <c r="N47" s="49" t="s">
        <v>176</v>
      </c>
      <c r="O47" s="21">
        <v>305</v>
      </c>
      <c r="P47" s="22">
        <v>236</v>
      </c>
      <c r="Q47" s="23">
        <f>P47/O47</f>
        <v>0.7737704918032787</v>
      </c>
      <c r="R47" s="22">
        <v>236.9</v>
      </c>
      <c r="S47" s="28" t="s">
        <v>149</v>
      </c>
      <c r="T47" s="53"/>
      <c r="U47" s="161"/>
      <c r="W47" s="49" t="s">
        <v>47</v>
      </c>
      <c r="X47" s="21">
        <v>317</v>
      </c>
      <c r="Y47" s="22">
        <v>227</v>
      </c>
      <c r="Z47" s="23">
        <f t="shared" si="6"/>
        <v>0.7160883280757098</v>
      </c>
      <c r="AA47" s="22">
        <v>223.7</v>
      </c>
      <c r="AB47" s="28" t="s">
        <v>148</v>
      </c>
    </row>
    <row r="48" spans="2:28" ht="15" customHeight="1">
      <c r="B48" s="180">
        <f>'[1]POOL-joueus'!$B$175</f>
        <v>33.83561643835616</v>
      </c>
      <c r="C48" s="180" t="str">
        <f>'[1]POOL-joueus'!$C$175</f>
        <v>Atl</v>
      </c>
      <c r="D48" s="181" t="str">
        <f>'[1]POOL-joueus'!$D$175</f>
        <v>Todd White</v>
      </c>
      <c r="E48" s="183">
        <v>6</v>
      </c>
      <c r="F48" s="183">
        <v>1</v>
      </c>
      <c r="G48" s="183">
        <v>2</v>
      </c>
      <c r="H48" s="187">
        <f t="shared" si="7"/>
        <v>3</v>
      </c>
      <c r="I48" s="188">
        <f t="shared" si="8"/>
        <v>0.5</v>
      </c>
      <c r="J48" s="7"/>
      <c r="K48" s="7"/>
      <c r="L48" s="7"/>
      <c r="M48" s="8"/>
      <c r="N48" s="49" t="s">
        <v>177</v>
      </c>
      <c r="O48" s="21">
        <v>276</v>
      </c>
      <c r="P48" s="22">
        <v>208</v>
      </c>
      <c r="Q48" s="23">
        <f>P48/O48</f>
        <v>0.7536231884057971</v>
      </c>
      <c r="R48" s="241">
        <v>209</v>
      </c>
      <c r="S48" s="28" t="s">
        <v>150</v>
      </c>
      <c r="T48" s="53"/>
      <c r="U48" s="161"/>
      <c r="W48" s="49" t="s">
        <v>48</v>
      </c>
      <c r="X48" s="21">
        <v>63</v>
      </c>
      <c r="Y48" s="22">
        <v>50</v>
      </c>
      <c r="Z48" s="23">
        <f t="shared" si="6"/>
        <v>0.7936507936507936</v>
      </c>
      <c r="AA48" s="22">
        <v>42.1</v>
      </c>
      <c r="AB48" s="28" t="s">
        <v>95</v>
      </c>
    </row>
    <row r="49" spans="2:21" ht="15" customHeight="1">
      <c r="B49" s="180">
        <f>'[1]POOL-joueus'!$B$113</f>
        <v>28.52054794520548</v>
      </c>
      <c r="C49" s="180" t="str">
        <f>'[1]POOL-joueus'!$C$113</f>
        <v>Ott</v>
      </c>
      <c r="D49" s="181" t="str">
        <f>'[1]POOL-joueus'!$D$113</f>
        <v>Mike Comrie</v>
      </c>
      <c r="E49" s="180">
        <v>3</v>
      </c>
      <c r="F49" s="180">
        <v>1</v>
      </c>
      <c r="G49" s="180">
        <v>0</v>
      </c>
      <c r="H49" s="187">
        <f t="shared" si="7"/>
        <v>1</v>
      </c>
      <c r="I49" s="188">
        <f t="shared" si="8"/>
        <v>0.3333333333333333</v>
      </c>
      <c r="J49" s="7"/>
      <c r="K49" s="7"/>
      <c r="L49" s="7"/>
      <c r="M49" s="8"/>
      <c r="N49" s="49" t="s">
        <v>178</v>
      </c>
      <c r="O49" s="21"/>
      <c r="P49" s="22"/>
      <c r="Q49" s="23"/>
      <c r="R49" s="22"/>
      <c r="S49" s="28"/>
      <c r="T49" s="53"/>
      <c r="U49" s="161"/>
    </row>
    <row r="50" spans="2:21" ht="15" customHeight="1" thickBot="1">
      <c r="B50" s="107"/>
      <c r="C50" s="107"/>
      <c r="D50" s="124"/>
      <c r="E50" s="123"/>
      <c r="F50" s="123"/>
      <c r="G50" s="123"/>
      <c r="H50" s="37">
        <f t="shared" si="7"/>
        <v>0</v>
      </c>
      <c r="I50" s="46" t="e">
        <f t="shared" si="8"/>
        <v>#DIV/0!</v>
      </c>
      <c r="J50" s="7"/>
      <c r="K50" s="7"/>
      <c r="L50" s="7"/>
      <c r="M50" s="8"/>
      <c r="N50" s="49" t="s">
        <v>180</v>
      </c>
      <c r="O50" s="21"/>
      <c r="P50" s="22"/>
      <c r="Q50" s="23"/>
      <c r="R50" s="22"/>
      <c r="S50" s="28"/>
      <c r="T50" s="53"/>
      <c r="U50" s="161"/>
    </row>
    <row r="51" spans="2:21" ht="15" customHeight="1">
      <c r="B51" s="274" t="s">
        <v>26</v>
      </c>
      <c r="C51" s="275"/>
      <c r="D51" s="255"/>
      <c r="E51" s="14">
        <f>SUM(E43:E50)</f>
        <v>275</v>
      </c>
      <c r="F51" s="14">
        <f>SUM(F43:F50)</f>
        <v>89</v>
      </c>
      <c r="G51" s="14">
        <f>SUM(G43:G50)</f>
        <v>123</v>
      </c>
      <c r="H51" s="33">
        <f t="shared" si="7"/>
        <v>212</v>
      </c>
      <c r="I51" s="50">
        <f t="shared" si="8"/>
        <v>0.7709090909090909</v>
      </c>
      <c r="J51" s="7"/>
      <c r="K51" s="7"/>
      <c r="L51" s="7"/>
      <c r="M51" s="8"/>
      <c r="N51" s="49" t="s">
        <v>179</v>
      </c>
      <c r="O51" s="21"/>
      <c r="P51" s="22"/>
      <c r="Q51" s="23"/>
      <c r="R51" s="22"/>
      <c r="S51" s="28"/>
      <c r="T51" s="53"/>
      <c r="U51" s="161"/>
    </row>
    <row r="52" spans="2:21" ht="1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  <c r="U52" s="161"/>
    </row>
    <row r="53" spans="2:29" ht="15" customHeight="1" thickBot="1">
      <c r="B53" s="256" t="s">
        <v>25</v>
      </c>
      <c r="C53" s="257"/>
      <c r="D53" s="257"/>
      <c r="E53" s="257"/>
      <c r="F53" s="257"/>
      <c r="G53" s="257"/>
      <c r="H53" s="257"/>
      <c r="I53" s="258"/>
      <c r="J53" s="7"/>
      <c r="K53" s="7"/>
      <c r="L53" s="7"/>
      <c r="M53" s="8"/>
      <c r="N53" s="1" t="s">
        <v>163</v>
      </c>
      <c r="U53" s="161"/>
      <c r="V53" s="161"/>
      <c r="W53" s="161"/>
      <c r="X53" s="161"/>
      <c r="Y53" s="161"/>
      <c r="Z53" s="161"/>
      <c r="AA53" s="161"/>
      <c r="AB53" s="161"/>
      <c r="AC53" s="161"/>
    </row>
    <row r="54" spans="2:21" ht="15" customHeight="1" thickBot="1">
      <c r="B54" s="30" t="s">
        <v>15</v>
      </c>
      <c r="C54" s="30" t="s">
        <v>29</v>
      </c>
      <c r="D54" s="30" t="s">
        <v>17</v>
      </c>
      <c r="E54" s="31" t="s">
        <v>2</v>
      </c>
      <c r="F54" s="31" t="s">
        <v>21</v>
      </c>
      <c r="G54" s="31" t="s">
        <v>30</v>
      </c>
      <c r="H54" s="32" t="s">
        <v>6</v>
      </c>
      <c r="I54" s="31" t="s">
        <v>11</v>
      </c>
      <c r="J54" s="7"/>
      <c r="K54" s="7"/>
      <c r="L54" s="7"/>
      <c r="M54" s="8"/>
      <c r="N54" s="1" t="s">
        <v>164</v>
      </c>
      <c r="U54" s="161"/>
    </row>
    <row r="55" spans="2:29" ht="15" customHeight="1" thickTop="1">
      <c r="B55" s="109">
        <f>'[1]POOL-joueus'!$B$214</f>
        <v>26.18904109589041</v>
      </c>
      <c r="C55" s="109" t="str">
        <f>'[1]POOL-joueus'!$C$214</f>
        <v>Edm</v>
      </c>
      <c r="D55" s="111" t="str">
        <f>'[1]POOL-joueus'!$D$214</f>
        <v>Tom Gilbert</v>
      </c>
      <c r="E55" s="109">
        <f>'[1]POOL-joueus'!$E$214</f>
        <v>67</v>
      </c>
      <c r="F55" s="109">
        <f>'[1]POOL-joueus'!$F$214</f>
        <v>4</v>
      </c>
      <c r="G55" s="109">
        <f>'[1]POOL-joueus'!$G$214</f>
        <v>34</v>
      </c>
      <c r="H55" s="44">
        <f aca="true" t="shared" si="9" ref="H55:H63">SUM(F55:G55)</f>
        <v>38</v>
      </c>
      <c r="I55" s="45">
        <f aca="true" t="shared" si="10" ref="I55:I63">H55/E55</f>
        <v>0.5671641791044776</v>
      </c>
      <c r="J55" s="7"/>
      <c r="K55" s="7"/>
      <c r="L55" s="7"/>
      <c r="M55" s="8"/>
      <c r="U55" s="161"/>
      <c r="W55" s="250" t="s">
        <v>119</v>
      </c>
      <c r="X55" s="250"/>
      <c r="Y55" s="250"/>
      <c r="Z55" s="250"/>
      <c r="AA55" s="250"/>
      <c r="AB55" s="250"/>
      <c r="AC55" s="250"/>
    </row>
    <row r="56" spans="2:21" ht="15" customHeight="1">
      <c r="B56" s="107">
        <f>'[1]POOL-joueus'!$B$67</f>
        <v>23.93972602739726</v>
      </c>
      <c r="C56" s="107" t="str">
        <f>'[1]POOL-joueus'!$C$67</f>
        <v>Cgy</v>
      </c>
      <c r="D56" s="124" t="str">
        <f>'[1]POOL-joueus'!$D$67</f>
        <v>Dion Phaneuf</v>
      </c>
      <c r="E56" s="107">
        <f>'[1]POOL-joueus'!$E$67</f>
        <v>68</v>
      </c>
      <c r="F56" s="107">
        <f>'[1]POOL-joueus'!$F$67</f>
        <v>9</v>
      </c>
      <c r="G56" s="107">
        <f>'[1]POOL-joueus'!$G$67</f>
        <v>30</v>
      </c>
      <c r="H56" s="44">
        <f t="shared" si="9"/>
        <v>39</v>
      </c>
      <c r="I56" s="45">
        <f t="shared" si="10"/>
        <v>0.5735294117647058</v>
      </c>
      <c r="J56" s="7"/>
      <c r="K56" s="7"/>
      <c r="L56" s="7"/>
      <c r="M56" s="8"/>
      <c r="N56" s="165"/>
      <c r="O56" s="165"/>
      <c r="P56" s="165"/>
      <c r="Q56" s="165"/>
      <c r="R56" s="165"/>
      <c r="S56" s="165"/>
      <c r="T56" s="165"/>
      <c r="U56" s="161"/>
    </row>
    <row r="57" spans="2:29" ht="15" customHeight="1">
      <c r="B57" s="189">
        <f>'[1]POOL-joueus'!$B$99</f>
        <v>31.052054794520547</v>
      </c>
      <c r="C57" s="189" t="str">
        <f>'[1]POOL-joueus'!$C$99</f>
        <v>Tor</v>
      </c>
      <c r="D57" s="190" t="str">
        <f>'[1]POOL-joueus'!$D$99</f>
        <v>Tomas Kaberle</v>
      </c>
      <c r="E57" s="189">
        <f>'[1]POOL-joueus'!$E$99</f>
        <v>51</v>
      </c>
      <c r="F57" s="189">
        <f>'[1]POOL-joueus'!$F$99</f>
        <v>4</v>
      </c>
      <c r="G57" s="189">
        <f>'[1]POOL-joueus'!$G$99</f>
        <v>27</v>
      </c>
      <c r="H57" s="187">
        <f t="shared" si="9"/>
        <v>31</v>
      </c>
      <c r="I57" s="188">
        <f t="shared" si="10"/>
        <v>0.6078431372549019</v>
      </c>
      <c r="J57" s="7"/>
      <c r="K57" s="7"/>
      <c r="L57" s="7"/>
      <c r="M57" s="8"/>
      <c r="U57" s="161"/>
      <c r="W57" s="259" t="s">
        <v>91</v>
      </c>
      <c r="X57" s="261"/>
      <c r="Y57" s="260"/>
      <c r="AA57" s="259" t="s">
        <v>91</v>
      </c>
      <c r="AB57" s="261"/>
      <c r="AC57" s="260"/>
    </row>
    <row r="58" spans="2:29" ht="15" customHeight="1">
      <c r="B58" s="108">
        <f>'[1]POOL-joueus'!$B$218</f>
        <v>35.106849315068494</v>
      </c>
      <c r="C58" s="108" t="str">
        <f>'[1]POOL-joueus'!$C$218</f>
        <v>Buf</v>
      </c>
      <c r="D58" s="110" t="str">
        <f>'[1]POOL-joueus'!$D$218</f>
        <v>Jaroslav Spacek</v>
      </c>
      <c r="E58" s="108">
        <f>'[1]POOL-joueus'!$E$218</f>
        <v>65</v>
      </c>
      <c r="F58" s="108">
        <f>'[1]POOL-joueus'!$F$218</f>
        <v>8</v>
      </c>
      <c r="G58" s="108">
        <f>'[1]POOL-joueus'!$G$218</f>
        <v>27</v>
      </c>
      <c r="H58" s="44">
        <f t="shared" si="9"/>
        <v>35</v>
      </c>
      <c r="I58" s="45">
        <f t="shared" si="10"/>
        <v>0.5384615384615384</v>
      </c>
      <c r="J58" s="7"/>
      <c r="K58" s="7"/>
      <c r="L58" s="7"/>
      <c r="M58" s="8"/>
      <c r="U58" s="161"/>
      <c r="W58" s="47" t="s">
        <v>90</v>
      </c>
      <c r="X58" s="47" t="s">
        <v>92</v>
      </c>
      <c r="Y58" s="47" t="s">
        <v>3</v>
      </c>
      <c r="AA58" s="47" t="s">
        <v>105</v>
      </c>
      <c r="AB58" s="47" t="s">
        <v>92</v>
      </c>
      <c r="AC58" s="47" t="s">
        <v>3</v>
      </c>
    </row>
    <row r="59" spans="2:29" ht="15" customHeight="1">
      <c r="B59" s="109">
        <f>'[1]POOL-joueus'!$B$199</f>
        <v>35.71780821917808</v>
      </c>
      <c r="C59" s="109" t="str">
        <f>'[1]POOL-joueus'!$C$199</f>
        <v>Cgy</v>
      </c>
      <c r="D59" s="111" t="str">
        <f>'[1]POOL-joueus'!$D$199</f>
        <v>Adrian Aucoin</v>
      </c>
      <c r="E59" s="109">
        <f>('[1]POOL-joueus'!$E$199)-11</f>
        <v>57</v>
      </c>
      <c r="F59" s="109">
        <f>('[1]POOL-joueus'!$F$199)-1</f>
        <v>9</v>
      </c>
      <c r="G59" s="109">
        <f>('[1]POOL-joueus'!$G$199)-1</f>
        <v>18</v>
      </c>
      <c r="H59" s="44">
        <f t="shared" si="9"/>
        <v>27</v>
      </c>
      <c r="I59" s="45">
        <f t="shared" si="10"/>
        <v>0.47368421052631576</v>
      </c>
      <c r="J59" s="7"/>
      <c r="K59" s="7"/>
      <c r="L59" s="7"/>
      <c r="M59" s="8"/>
      <c r="U59" s="161"/>
      <c r="W59" s="95" t="s">
        <v>96</v>
      </c>
      <c r="X59" s="96" t="s">
        <v>93</v>
      </c>
      <c r="Y59" s="96">
        <v>1327.2</v>
      </c>
      <c r="AA59" s="95" t="s">
        <v>107</v>
      </c>
      <c r="AB59" s="95" t="s">
        <v>106</v>
      </c>
      <c r="AC59" s="95">
        <v>94</v>
      </c>
    </row>
    <row r="60" spans="2:29" ht="15" customHeight="1">
      <c r="B60" s="183">
        <f>'[1]POOL-joueus'!$B$167</f>
        <v>24.367123287671234</v>
      </c>
      <c r="C60" s="183" t="str">
        <f>'[1]POOL-joueus'!$C$167</f>
        <v>Atl</v>
      </c>
      <c r="D60" s="184" t="str">
        <f>'[1]POOL-joueus'!$D$167</f>
        <v>Tobias Enstrom</v>
      </c>
      <c r="E60" s="183">
        <v>62</v>
      </c>
      <c r="F60" s="183">
        <v>2</v>
      </c>
      <c r="G60" s="183">
        <v>13</v>
      </c>
      <c r="H60" s="187">
        <f t="shared" si="9"/>
        <v>15</v>
      </c>
      <c r="I60" s="188">
        <f t="shared" si="10"/>
        <v>0.24193548387096775</v>
      </c>
      <c r="J60" s="7"/>
      <c r="K60" s="7"/>
      <c r="L60" s="7"/>
      <c r="M60" s="8"/>
      <c r="U60" s="161"/>
      <c r="W60" s="95" t="s">
        <v>97</v>
      </c>
      <c r="X60" s="96" t="s">
        <v>94</v>
      </c>
      <c r="Y60" s="96">
        <v>1490.4</v>
      </c>
      <c r="AA60" s="97" t="s">
        <v>108</v>
      </c>
      <c r="AB60" s="97" t="s">
        <v>95</v>
      </c>
      <c r="AC60" s="97">
        <v>246</v>
      </c>
    </row>
    <row r="61" spans="2:29" ht="15" customHeight="1">
      <c r="B61" s="108">
        <f>'[1]POOL-joueus'!$B$274</f>
        <v>22.28219178082192</v>
      </c>
      <c r="C61" s="108" t="str">
        <f>'[1]POOL-joueus'!$C$274</f>
        <v>Dal</v>
      </c>
      <c r="D61" s="110" t="str">
        <f>'[1]POOL-joueus'!$D$274</f>
        <v>Matt Niskanen</v>
      </c>
      <c r="E61" s="109">
        <f>('[1]POOL-joueus'!$E$274)-34</f>
        <v>32</v>
      </c>
      <c r="F61" s="109">
        <f>('[1]POOL-joueus'!$F$274)-3</f>
        <v>2</v>
      </c>
      <c r="G61" s="109">
        <f>('[1]POOL-joueus'!$G$274)-12</f>
        <v>11</v>
      </c>
      <c r="H61" s="44">
        <f t="shared" si="9"/>
        <v>13</v>
      </c>
      <c r="I61" s="45">
        <f t="shared" si="10"/>
        <v>0.40625</v>
      </c>
      <c r="J61" s="145"/>
      <c r="K61" s="7"/>
      <c r="L61" s="7"/>
      <c r="M61" s="8"/>
      <c r="U61" s="161"/>
      <c r="W61" s="95" t="s">
        <v>98</v>
      </c>
      <c r="X61" s="96" t="s">
        <v>93</v>
      </c>
      <c r="Y61" s="96">
        <v>1380.8</v>
      </c>
      <c r="AA61" s="95" t="s">
        <v>109</v>
      </c>
      <c r="AB61" s="95" t="s">
        <v>93</v>
      </c>
      <c r="AC61" s="95">
        <v>174</v>
      </c>
    </row>
    <row r="62" spans="2:29" ht="15" customHeight="1" thickBot="1">
      <c r="B62" s="106">
        <f>'[1]POOL-joueus'!$B$272</f>
        <v>27.465753424657535</v>
      </c>
      <c r="C62" s="106" t="str">
        <f>'[1]POOL-joueus'!$C$272</f>
        <v>N.J.</v>
      </c>
      <c r="D62" s="126" t="str">
        <f>'[1]POOL-joueus'!$D$272</f>
        <v>Johnny Oduya</v>
      </c>
      <c r="E62" s="123">
        <f>('[1]POOL-joueus'!$E$272)-62</f>
        <v>5</v>
      </c>
      <c r="F62" s="123">
        <f>('[1]POOL-joueus'!$F$272)-6</f>
        <v>0</v>
      </c>
      <c r="G62" s="123">
        <f>('[1]POOL-joueus'!$G$272)-20</f>
        <v>1</v>
      </c>
      <c r="H62" s="37">
        <f t="shared" si="9"/>
        <v>1</v>
      </c>
      <c r="I62" s="46">
        <f t="shared" si="10"/>
        <v>0.2</v>
      </c>
      <c r="J62" s="7"/>
      <c r="K62" s="7"/>
      <c r="L62" s="7"/>
      <c r="M62" s="8"/>
      <c r="U62" s="161"/>
      <c r="W62" s="97" t="s">
        <v>102</v>
      </c>
      <c r="X62" s="98" t="s">
        <v>95</v>
      </c>
      <c r="Y62" s="98">
        <v>1675.7</v>
      </c>
      <c r="AA62" s="95" t="s">
        <v>110</v>
      </c>
      <c r="AB62" s="95" t="s">
        <v>106</v>
      </c>
      <c r="AC62" s="95">
        <v>133</v>
      </c>
    </row>
    <row r="63" spans="2:29" ht="15" customHeight="1">
      <c r="B63" s="274" t="s">
        <v>26</v>
      </c>
      <c r="C63" s="275"/>
      <c r="D63" s="255"/>
      <c r="E63" s="14">
        <f>SUM(E55:E62)</f>
        <v>407</v>
      </c>
      <c r="F63" s="14">
        <f>SUM(F55:F62)</f>
        <v>38</v>
      </c>
      <c r="G63" s="14">
        <f>SUM(G55:G62)</f>
        <v>161</v>
      </c>
      <c r="H63" s="33">
        <f t="shared" si="9"/>
        <v>199</v>
      </c>
      <c r="I63" s="50">
        <f t="shared" si="10"/>
        <v>0.48894348894348894</v>
      </c>
      <c r="J63" s="7"/>
      <c r="K63" s="7"/>
      <c r="L63" s="7"/>
      <c r="M63" s="8"/>
      <c r="Q63" s="128"/>
      <c r="R63" s="128"/>
      <c r="S63" s="128"/>
      <c r="T63" s="128"/>
      <c r="U63" s="161"/>
      <c r="W63" s="95" t="s">
        <v>99</v>
      </c>
      <c r="X63" s="96" t="s">
        <v>93</v>
      </c>
      <c r="Y63" s="96">
        <v>1336.2</v>
      </c>
      <c r="AA63" s="95" t="s">
        <v>111</v>
      </c>
      <c r="AB63" s="96" t="s">
        <v>121</v>
      </c>
      <c r="AC63" s="96" t="s">
        <v>122</v>
      </c>
    </row>
    <row r="64" spans="2:29" ht="15" customHeight="1">
      <c r="B64" s="104"/>
      <c r="C64" s="105"/>
      <c r="D64" s="105"/>
      <c r="E64" s="118"/>
      <c r="F64" s="118"/>
      <c r="G64" s="118"/>
      <c r="H64" s="118"/>
      <c r="I64" s="119"/>
      <c r="J64" s="7"/>
      <c r="K64" s="7"/>
      <c r="L64" s="7"/>
      <c r="M64" s="8"/>
      <c r="R64" s="128"/>
      <c r="S64" s="128"/>
      <c r="T64" s="128"/>
      <c r="U64" s="162"/>
      <c r="W64" s="95" t="s">
        <v>100</v>
      </c>
      <c r="X64" s="96" t="s">
        <v>93</v>
      </c>
      <c r="Y64" s="96">
        <v>1793</v>
      </c>
      <c r="AA64" s="95"/>
      <c r="AB64" s="96"/>
      <c r="AC64" s="96"/>
    </row>
    <row r="65" spans="2:29" ht="14.25" thickBot="1">
      <c r="B65" s="319" t="s">
        <v>141</v>
      </c>
      <c r="C65" s="320"/>
      <c r="D65" s="320"/>
      <c r="E65" s="320"/>
      <c r="F65" s="320"/>
      <c r="G65" s="320"/>
      <c r="H65" s="320"/>
      <c r="I65" s="320"/>
      <c r="J65" s="320"/>
      <c r="K65" s="321"/>
      <c r="L65" s="7"/>
      <c r="M65" s="8"/>
      <c r="U65" s="162"/>
      <c r="W65" s="95" t="s">
        <v>101</v>
      </c>
      <c r="X65" s="96" t="s">
        <v>103</v>
      </c>
      <c r="Y65" s="96" t="s">
        <v>104</v>
      </c>
      <c r="AA65" s="95"/>
      <c r="AB65" s="96"/>
      <c r="AC65" s="96"/>
    </row>
    <row r="66" spans="2:21" ht="15" customHeight="1" thickBot="1">
      <c r="B66" s="30" t="s">
        <v>15</v>
      </c>
      <c r="C66" s="30" t="s">
        <v>16</v>
      </c>
      <c r="D66" s="30" t="s">
        <v>17</v>
      </c>
      <c r="E66" s="31" t="s">
        <v>2</v>
      </c>
      <c r="F66" s="31" t="s">
        <v>18</v>
      </c>
      <c r="G66" s="31" t="s">
        <v>19</v>
      </c>
      <c r="H66" s="31" t="s">
        <v>20</v>
      </c>
      <c r="I66" s="31" t="s">
        <v>21</v>
      </c>
      <c r="J66" s="31" t="s">
        <v>22</v>
      </c>
      <c r="K66" s="32" t="s">
        <v>6</v>
      </c>
      <c r="L66" s="7"/>
      <c r="M66" s="8"/>
      <c r="U66" s="161"/>
    </row>
    <row r="67" spans="2:21" ht="15" customHeight="1" thickTop="1">
      <c r="B67" s="121"/>
      <c r="C67" s="121"/>
      <c r="D67" s="122"/>
      <c r="E67" s="121"/>
      <c r="F67" s="121"/>
      <c r="G67" s="121"/>
      <c r="H67" s="121"/>
      <c r="I67" s="121"/>
      <c r="J67" s="121"/>
      <c r="K67" s="44">
        <f>(F67*2)+G67+(H67*4)+(I67*10)+J67</f>
        <v>0</v>
      </c>
      <c r="L67" s="7"/>
      <c r="M67" s="8"/>
      <c r="U67" s="161"/>
    </row>
    <row r="68" spans="2:21" ht="15" customHeight="1" thickBot="1">
      <c r="B68" s="108"/>
      <c r="C68" s="108"/>
      <c r="D68" s="110"/>
      <c r="E68" s="113"/>
      <c r="F68" s="113"/>
      <c r="G68" s="113"/>
      <c r="H68" s="113"/>
      <c r="I68" s="113"/>
      <c r="J68" s="113"/>
      <c r="K68" s="120">
        <f>(F68*2)+G68+(H68*4)+(I68*10)+J68</f>
        <v>0</v>
      </c>
      <c r="L68" s="7"/>
      <c r="M68" s="8"/>
      <c r="U68" s="161"/>
    </row>
    <row r="69" spans="2:21" ht="15" customHeight="1">
      <c r="B69" s="274" t="s">
        <v>26</v>
      </c>
      <c r="C69" s="275"/>
      <c r="D69" s="255"/>
      <c r="E69" s="14">
        <f aca="true" t="shared" si="11" ref="E69:J69">SUM(E66:E68)</f>
        <v>0</v>
      </c>
      <c r="F69" s="14">
        <f t="shared" si="11"/>
        <v>0</v>
      </c>
      <c r="G69" s="14">
        <f t="shared" si="11"/>
        <v>0</v>
      </c>
      <c r="H69" s="14">
        <f t="shared" si="11"/>
        <v>0</v>
      </c>
      <c r="I69" s="14">
        <f t="shared" si="11"/>
        <v>0</v>
      </c>
      <c r="J69" s="14">
        <f t="shared" si="11"/>
        <v>0</v>
      </c>
      <c r="K69" s="33">
        <f>(F69*2)+G69+(H69*4)+(I69*10)+J69</f>
        <v>0</v>
      </c>
      <c r="L69" s="7"/>
      <c r="M69" s="2"/>
      <c r="U69" s="161"/>
    </row>
    <row r="70" spans="2:21" ht="15" customHeight="1" thickBot="1">
      <c r="B70" s="319" t="s">
        <v>140</v>
      </c>
      <c r="C70" s="320"/>
      <c r="D70" s="320"/>
      <c r="E70" s="320"/>
      <c r="F70" s="320"/>
      <c r="G70" s="320"/>
      <c r="H70" s="320"/>
      <c r="I70" s="321"/>
      <c r="L70" s="7"/>
      <c r="M70" s="2"/>
      <c r="U70" s="161"/>
    </row>
    <row r="71" spans="1:21" ht="15" customHeight="1" thickBot="1">
      <c r="A71" s="30" t="s">
        <v>143</v>
      </c>
      <c r="B71" s="30" t="s">
        <v>15</v>
      </c>
      <c r="C71" s="30" t="s">
        <v>29</v>
      </c>
      <c r="D71" s="30" t="s">
        <v>17</v>
      </c>
      <c r="E71" s="31" t="s">
        <v>2</v>
      </c>
      <c r="F71" s="31" t="s">
        <v>21</v>
      </c>
      <c r="G71" s="31" t="s">
        <v>30</v>
      </c>
      <c r="H71" s="32" t="s">
        <v>6</v>
      </c>
      <c r="I71" s="31" t="s">
        <v>11</v>
      </c>
      <c r="L71" s="129"/>
      <c r="M71" s="2"/>
      <c r="U71" s="161"/>
    </row>
    <row r="72" spans="1:21" ht="15" customHeight="1" thickTop="1">
      <c r="A72" s="108" t="s">
        <v>145</v>
      </c>
      <c r="B72" s="108">
        <f>'[1]POOL-joueus'!$B$576</f>
        <v>19.252054794520546</v>
      </c>
      <c r="C72" s="108" t="str">
        <f>'[1]POOL-joueus'!$C$576</f>
        <v>Phx</v>
      </c>
      <c r="D72" s="110" t="str">
        <f>'[1]POOL-joueus'!$D$576</f>
        <v>Mikkel Boedker</v>
      </c>
      <c r="E72" s="108">
        <f>'[1]POOL-joueus'!$E$576</f>
        <v>67</v>
      </c>
      <c r="F72" s="108">
        <f>'[1]POOL-joueus'!$F$576</f>
        <v>10</v>
      </c>
      <c r="G72" s="108">
        <f>'[1]POOL-joueus'!$G$576</f>
        <v>15</v>
      </c>
      <c r="H72" s="44">
        <f>SUM(F72:G72)</f>
        <v>25</v>
      </c>
      <c r="I72" s="29">
        <f>H72/E72</f>
        <v>0.373134328358209</v>
      </c>
      <c r="L72" s="129"/>
      <c r="M72" s="2"/>
      <c r="U72" s="161"/>
    </row>
    <row r="73" spans="1:21" ht="15" customHeight="1">
      <c r="A73" s="180" t="s">
        <v>145</v>
      </c>
      <c r="B73" s="180">
        <f>'[1]POOL-joueus'!$B$496</f>
        <v>23.586301369863012</v>
      </c>
      <c r="C73" s="180" t="str">
        <f>'[1]POOL-joueus'!$C$496</f>
        <v>Chi</v>
      </c>
      <c r="D73" s="181" t="str">
        <f>'[1]POOL-joueus'!$D$496</f>
        <v>Troy Brouwer</v>
      </c>
      <c r="E73" s="180">
        <v>29</v>
      </c>
      <c r="F73" s="180">
        <v>6</v>
      </c>
      <c r="G73" s="180">
        <v>7</v>
      </c>
      <c r="H73" s="187">
        <f>SUM(F73:G73)</f>
        <v>13</v>
      </c>
      <c r="I73" s="199">
        <f>H73/E73</f>
        <v>0.4482758620689655</v>
      </c>
      <c r="L73" s="129"/>
      <c r="M73" s="2"/>
      <c r="U73" s="161"/>
    </row>
    <row r="74" spans="1:21" ht="15.75" customHeight="1" thickBot="1">
      <c r="A74" s="109" t="s">
        <v>145</v>
      </c>
      <c r="B74" s="108">
        <f>'[1]POOL-joueus'!$B$622</f>
        <v>22.235616438356164</v>
      </c>
      <c r="C74" s="108" t="str">
        <f>'[1]POOL-joueus'!$C$622</f>
        <v>Stl</v>
      </c>
      <c r="D74" s="110" t="str">
        <f>'[1]POOL-joueus'!$D$622</f>
        <v>T.J. Oshie</v>
      </c>
      <c r="E74" s="113">
        <f>(('[1]POOL-joueus'!$E$622)-8)-2</f>
        <v>32</v>
      </c>
      <c r="F74" s="113">
        <f>(('[1]POOL-joueus'!$F$622)-3)-0</f>
        <v>6</v>
      </c>
      <c r="G74" s="113">
        <f>(('[1]POOL-joueus'!$G$622)-4)-0</f>
        <v>12</v>
      </c>
      <c r="H74" s="37">
        <f>SUM(F74:G74)</f>
        <v>18</v>
      </c>
      <c r="I74" s="41">
        <f>H74/E74</f>
        <v>0.5625</v>
      </c>
      <c r="L74" s="129"/>
      <c r="M74" s="2"/>
      <c r="U74" s="161"/>
    </row>
    <row r="75" spans="2:21" ht="15" customHeight="1">
      <c r="B75" s="278" t="s">
        <v>7</v>
      </c>
      <c r="C75" s="281"/>
      <c r="D75" s="279"/>
      <c r="E75" s="22">
        <f>SUM(E72:E74)</f>
        <v>128</v>
      </c>
      <c r="F75" s="22">
        <f>SUM(F72:F74)</f>
        <v>22</v>
      </c>
      <c r="G75" s="22">
        <f>SUM(G72:G74)</f>
        <v>34</v>
      </c>
      <c r="H75" s="33">
        <f>SUM(H72:H74)</f>
        <v>56</v>
      </c>
      <c r="I75" s="23">
        <f>H75/E75</f>
        <v>0.4375</v>
      </c>
      <c r="L75" s="129"/>
      <c r="M75" s="2"/>
      <c r="U75" s="161"/>
    </row>
    <row r="76" spans="2:21" ht="15" customHeight="1">
      <c r="B76" s="76"/>
      <c r="C76" s="76"/>
      <c r="D76" s="76"/>
      <c r="E76" s="53"/>
      <c r="F76" s="53"/>
      <c r="G76" s="53"/>
      <c r="H76" s="53"/>
      <c r="I76" s="77"/>
      <c r="L76" s="129"/>
      <c r="M76" s="2"/>
      <c r="U76" s="161"/>
    </row>
    <row r="77" spans="2:21" ht="15" customHeight="1">
      <c r="B77" s="278" t="s">
        <v>142</v>
      </c>
      <c r="C77" s="281"/>
      <c r="D77" s="279"/>
      <c r="E77" s="109">
        <f>E69+E75</f>
        <v>128</v>
      </c>
      <c r="F77" s="112"/>
      <c r="G77" s="112"/>
      <c r="H77" s="44">
        <f>K69+H75</f>
        <v>56</v>
      </c>
      <c r="I77" s="29">
        <f>H77/E77</f>
        <v>0.4375</v>
      </c>
      <c r="L77" s="129"/>
      <c r="M77" s="2"/>
      <c r="U77" s="161"/>
    </row>
    <row r="78" spans="2:21" ht="15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129"/>
      <c r="M78" s="2"/>
      <c r="U78" s="161"/>
    </row>
    <row r="79" spans="2:21" ht="15" customHeight="1" thickBot="1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131"/>
      <c r="M79" s="2"/>
      <c r="U79" s="161"/>
    </row>
    <row r="80" spans="2:21" ht="15" customHeight="1">
      <c r="B80" s="280" t="s">
        <v>63</v>
      </c>
      <c r="C80" s="280"/>
      <c r="D80" s="280"/>
      <c r="E80" s="280"/>
      <c r="F80" s="280"/>
      <c r="G80" s="280"/>
      <c r="H80" s="280"/>
      <c r="I80" s="280"/>
      <c r="J80" s="280"/>
      <c r="K80" s="280"/>
      <c r="L80" s="7"/>
      <c r="M80" s="2"/>
      <c r="U80" s="161"/>
    </row>
    <row r="81" spans="2:21" ht="15" customHeight="1">
      <c r="B81" s="53"/>
      <c r="C81" s="53"/>
      <c r="D81" s="53"/>
      <c r="E81" s="53"/>
      <c r="F81" s="53"/>
      <c r="G81" s="53"/>
      <c r="H81" s="53"/>
      <c r="I81" s="53"/>
      <c r="J81" s="7"/>
      <c r="K81" s="7"/>
      <c r="L81" s="7"/>
      <c r="M81" s="2"/>
      <c r="N81" s="128"/>
      <c r="O81" s="128"/>
      <c r="P81" s="128"/>
      <c r="Q81" s="128"/>
      <c r="R81" s="128"/>
      <c r="S81" s="128"/>
      <c r="T81" s="128"/>
      <c r="U81" s="161"/>
    </row>
    <row r="82" spans="2:21" ht="14.25" thickBot="1">
      <c r="B82" s="53"/>
      <c r="C82" s="248" t="s">
        <v>1</v>
      </c>
      <c r="D82" s="249"/>
      <c r="E82" s="54" t="s">
        <v>2</v>
      </c>
      <c r="F82" s="54" t="s">
        <v>3</v>
      </c>
      <c r="G82" s="54" t="s">
        <v>4</v>
      </c>
      <c r="H82" s="54" t="s">
        <v>5</v>
      </c>
      <c r="I82" s="54" t="s">
        <v>6</v>
      </c>
      <c r="J82" s="53"/>
      <c r="K82" s="53"/>
      <c r="L82" s="7"/>
      <c r="M82" s="2"/>
      <c r="N82" s="128"/>
      <c r="O82" s="128"/>
      <c r="P82" s="128"/>
      <c r="Q82" s="128"/>
      <c r="R82" s="128"/>
      <c r="S82" s="128"/>
      <c r="T82" s="128"/>
      <c r="U82" s="162"/>
    </row>
    <row r="83" spans="2:21" ht="15" customHeight="1" thickTop="1">
      <c r="B83" s="53"/>
      <c r="C83" s="317" t="str">
        <f>'[1]Equipes-Pool'!$B$25</f>
        <v>Lightning Tampa Bay</v>
      </c>
      <c r="D83" s="318"/>
      <c r="E83" s="195">
        <v>4</v>
      </c>
      <c r="F83" s="195">
        <v>2</v>
      </c>
      <c r="G83" s="195">
        <v>8</v>
      </c>
      <c r="H83" s="195">
        <v>12</v>
      </c>
      <c r="I83" s="191">
        <f>F83+(G83-H83)</f>
        <v>-2</v>
      </c>
      <c r="J83" s="53"/>
      <c r="K83" s="53"/>
      <c r="L83" s="7"/>
      <c r="M83" s="2"/>
      <c r="Q83" s="57"/>
      <c r="R83" s="57"/>
      <c r="S83" s="57"/>
      <c r="T83" s="57"/>
      <c r="U83" s="162"/>
    </row>
    <row r="84" spans="2:21" ht="15" customHeight="1">
      <c r="B84" s="53"/>
      <c r="C84" s="259" t="str">
        <f>'[1]Equipes-Pool'!$B$29</f>
        <v>Blues de St-Louis</v>
      </c>
      <c r="D84" s="260"/>
      <c r="E84" s="28">
        <f>('[1]Equipes-Pool'!$C$29)-4</f>
        <v>63</v>
      </c>
      <c r="F84" s="28">
        <f>('[1]Equipes-Pool'!$D$29)-6</f>
        <v>64</v>
      </c>
      <c r="G84" s="28">
        <f>('[1]Equipes-Pool'!$E$29)-18</f>
        <v>170</v>
      </c>
      <c r="H84" s="28">
        <f>('[1]Equipes-Pool'!$F$29)-12</f>
        <v>185</v>
      </c>
      <c r="I84" s="43">
        <f>F84+(G84-H84)</f>
        <v>49</v>
      </c>
      <c r="J84" s="53"/>
      <c r="K84" s="53"/>
      <c r="L84" s="7"/>
      <c r="M84" s="2"/>
      <c r="U84" s="163"/>
    </row>
    <row r="85" spans="2:21" ht="15" customHeight="1" thickBot="1">
      <c r="B85" s="53"/>
      <c r="C85" s="259"/>
      <c r="D85" s="260"/>
      <c r="E85" s="114"/>
      <c r="F85" s="114"/>
      <c r="G85" s="114"/>
      <c r="H85" s="114"/>
      <c r="I85" s="116">
        <f>F85+(G85-H85)</f>
        <v>0</v>
      </c>
      <c r="J85" s="53"/>
      <c r="K85" s="53"/>
      <c r="L85" s="7"/>
      <c r="M85" s="2"/>
      <c r="U85" s="161"/>
    </row>
    <row r="86" spans="2:21" ht="15" customHeight="1">
      <c r="B86" s="53"/>
      <c r="C86" s="278" t="s">
        <v>7</v>
      </c>
      <c r="D86" s="279"/>
      <c r="E86" s="22">
        <f>SUM(E83:E85)</f>
        <v>67</v>
      </c>
      <c r="F86" s="22">
        <f>SUM(F83:F85)</f>
        <v>66</v>
      </c>
      <c r="G86" s="22">
        <f>SUM(G83:G85)</f>
        <v>178</v>
      </c>
      <c r="H86" s="22">
        <f>SUM(H83:H85)</f>
        <v>197</v>
      </c>
      <c r="I86" s="22">
        <f>SUM(I83:I85)</f>
        <v>47</v>
      </c>
      <c r="J86" s="53"/>
      <c r="K86" s="53"/>
      <c r="L86" s="7"/>
      <c r="M86" s="2"/>
      <c r="U86" s="161"/>
    </row>
    <row r="87" spans="10:21" ht="15" customHeight="1">
      <c r="J87" s="57"/>
      <c r="K87" s="57"/>
      <c r="M87" s="2"/>
      <c r="U87" s="161"/>
    </row>
    <row r="88" spans="2:21" ht="15" customHeight="1">
      <c r="B88" s="251" t="s">
        <v>13</v>
      </c>
      <c r="C88" s="252"/>
      <c r="D88" s="252"/>
      <c r="E88" s="252"/>
      <c r="F88" s="252"/>
      <c r="G88" s="252"/>
      <c r="H88" s="252"/>
      <c r="I88" s="252"/>
      <c r="J88" s="252"/>
      <c r="K88" s="253"/>
      <c r="M88" s="2"/>
      <c r="U88" s="161"/>
    </row>
    <row r="89" spans="2:21" ht="15" customHeight="1" thickBot="1">
      <c r="B89" s="54" t="s">
        <v>15</v>
      </c>
      <c r="C89" s="54" t="s">
        <v>16</v>
      </c>
      <c r="D89" s="54" t="s">
        <v>17</v>
      </c>
      <c r="E89" s="54" t="s">
        <v>2</v>
      </c>
      <c r="F89" s="54" t="s">
        <v>18</v>
      </c>
      <c r="G89" s="54" t="s">
        <v>19</v>
      </c>
      <c r="H89" s="54" t="s">
        <v>20</v>
      </c>
      <c r="I89" s="54" t="s">
        <v>21</v>
      </c>
      <c r="J89" s="54" t="s">
        <v>22</v>
      </c>
      <c r="K89" s="54" t="s">
        <v>6</v>
      </c>
      <c r="M89" s="2"/>
      <c r="U89" s="161"/>
    </row>
    <row r="90" spans="2:21" ht="15" customHeight="1" thickTop="1">
      <c r="B90" s="107">
        <f>'[1]Pool-gardien'!$B$35</f>
        <v>25.339726027397262</v>
      </c>
      <c r="C90" s="107" t="str">
        <f>'[1]Pool-gardien'!$C$35</f>
        <v>Atl</v>
      </c>
      <c r="D90" s="124" t="str">
        <f>'[1]Pool-gardien'!$D$35</f>
        <v>Kari Lehtonen</v>
      </c>
      <c r="E90" s="107">
        <f>'[1]Pool-gardien'!$E$35</f>
        <v>40</v>
      </c>
      <c r="F90" s="107">
        <f>'[1]Pool-gardien'!$F$35</f>
        <v>16</v>
      </c>
      <c r="G90" s="107">
        <f>'[1]Pool-gardien'!$G$35</f>
        <v>3</v>
      </c>
      <c r="H90" s="107">
        <f>'[1]Pool-gardien'!$H$35</f>
        <v>3</v>
      </c>
      <c r="I90" s="107">
        <f>'[1]Pool-gardien'!$I$35</f>
        <v>0</v>
      </c>
      <c r="J90" s="107">
        <f>'[1]Pool-gardien'!$J$35</f>
        <v>1</v>
      </c>
      <c r="K90" s="14">
        <f>(F90*2)+G90+(H90*4)+(I90*10)+J90</f>
        <v>48</v>
      </c>
      <c r="M90" s="2"/>
      <c r="U90" s="161"/>
    </row>
    <row r="91" spans="2:21" ht="15" customHeight="1">
      <c r="B91" s="109">
        <f>'[1]Pool-gardien'!$B$49</f>
        <v>27.0986301369863</v>
      </c>
      <c r="C91" s="109" t="str">
        <f>'[1]Pool-gardien'!$C$49</f>
        <v>Ana</v>
      </c>
      <c r="D91" s="111" t="str">
        <f>'[1]Pool-gardien'!$D$49</f>
        <v>Jonas Hiller</v>
      </c>
      <c r="E91" s="109">
        <f>('[1]Pool-gardien'!$E$49)-13</f>
        <v>21</v>
      </c>
      <c r="F91" s="109">
        <f>('[1]Pool-gardien'!$F$49)-7</f>
        <v>8</v>
      </c>
      <c r="G91" s="109">
        <f>('[1]Pool-gardien'!$G$49)</f>
        <v>1</v>
      </c>
      <c r="H91" s="109">
        <f>('[1]Pool-gardien'!$H$49)-2</f>
        <v>2</v>
      </c>
      <c r="I91" s="109">
        <f>('[1]Pool-gardien'!$I$49)-0</f>
        <v>0</v>
      </c>
      <c r="J91" s="109">
        <f>('[1]Pool-gardien'!$J$49)-0</f>
        <v>0</v>
      </c>
      <c r="K91" s="43">
        <f>(F91*2)+G91+(H91*4)+(I91*10)+J91</f>
        <v>25</v>
      </c>
      <c r="M91" s="2"/>
      <c r="U91" s="161"/>
    </row>
    <row r="92" spans="2:21" ht="15" customHeight="1">
      <c r="B92" s="106">
        <f>'[1]Pool-gardien'!$B$13</f>
        <v>31.846575342465755</v>
      </c>
      <c r="C92" s="106" t="str">
        <f>'[1]Pool-gardien'!$C$13</f>
        <v>Ana</v>
      </c>
      <c r="D92" s="126" t="str">
        <f>'[1]Pool-gardien'!$D$13</f>
        <v>Jean-Sebastien Giguere</v>
      </c>
      <c r="E92" s="106">
        <f>(('[1]Pool-gardien'!$E$13))-28</f>
        <v>14</v>
      </c>
      <c r="F92" s="106">
        <f>(('[1]Pool-gardien'!$F$13))-11</f>
        <v>6</v>
      </c>
      <c r="G92" s="106">
        <f>(('[1]Pool-gardien'!$G$13))-4</f>
        <v>1</v>
      </c>
      <c r="H92" s="106">
        <f>(('[1]Pool-gardien'!$H$13))-2</f>
        <v>0</v>
      </c>
      <c r="I92" s="106">
        <f>(('[1]Pool-gardien'!$I$13))-0</f>
        <v>0</v>
      </c>
      <c r="J92" s="106">
        <f>(('[1]Pool-gardien'!$J$13))-0</f>
        <v>0</v>
      </c>
      <c r="K92" s="14">
        <f>(F92*2)+G92+(H92*4)+(I92*10)+J92</f>
        <v>13</v>
      </c>
      <c r="M92" s="2"/>
      <c r="U92" s="161"/>
    </row>
    <row r="93" spans="2:21" ht="15" customHeight="1" thickBot="1">
      <c r="B93" s="106"/>
      <c r="C93" s="106"/>
      <c r="D93" s="126"/>
      <c r="E93" s="166"/>
      <c r="F93" s="166"/>
      <c r="G93" s="166"/>
      <c r="H93" s="166"/>
      <c r="I93" s="166"/>
      <c r="J93" s="166"/>
      <c r="K93" s="116">
        <f>(F93*2)+G93+(H93*4)+(I93*10)+J93</f>
        <v>0</v>
      </c>
      <c r="M93" s="2"/>
      <c r="U93" s="161"/>
    </row>
    <row r="94" spans="2:21" ht="15" customHeight="1">
      <c r="B94" s="278" t="s">
        <v>7</v>
      </c>
      <c r="C94" s="281"/>
      <c r="D94" s="279"/>
      <c r="E94" s="22">
        <f aca="true" t="shared" si="12" ref="E94:J94">SUM(E90:E93)</f>
        <v>75</v>
      </c>
      <c r="F94" s="22">
        <f t="shared" si="12"/>
        <v>30</v>
      </c>
      <c r="G94" s="22">
        <f t="shared" si="12"/>
        <v>5</v>
      </c>
      <c r="H94" s="22">
        <f t="shared" si="12"/>
        <v>5</v>
      </c>
      <c r="I94" s="22">
        <f t="shared" si="12"/>
        <v>0</v>
      </c>
      <c r="J94" s="22">
        <f t="shared" si="12"/>
        <v>1</v>
      </c>
      <c r="K94" s="14">
        <f>(F94*2)+G94+(H94*4)+(I94*10)+J94</f>
        <v>86</v>
      </c>
      <c r="M94" s="2"/>
      <c r="U94" s="161"/>
    </row>
    <row r="95" spans="13:21" ht="15" customHeight="1">
      <c r="M95" s="2"/>
      <c r="U95" s="161"/>
    </row>
    <row r="96" spans="2:21" ht="15" customHeight="1">
      <c r="B96" s="251" t="s">
        <v>23</v>
      </c>
      <c r="C96" s="252"/>
      <c r="D96" s="252"/>
      <c r="E96" s="252"/>
      <c r="F96" s="252"/>
      <c r="G96" s="252"/>
      <c r="H96" s="252"/>
      <c r="I96" s="253"/>
      <c r="M96" s="2"/>
      <c r="U96" s="161"/>
    </row>
    <row r="97" spans="2:21" ht="15" customHeight="1" thickBot="1">
      <c r="B97" s="54" t="s">
        <v>15</v>
      </c>
      <c r="C97" s="54" t="s">
        <v>29</v>
      </c>
      <c r="D97" s="54" t="s">
        <v>17</v>
      </c>
      <c r="E97" s="54" t="s">
        <v>2</v>
      </c>
      <c r="F97" s="54" t="s">
        <v>21</v>
      </c>
      <c r="G97" s="54" t="s">
        <v>30</v>
      </c>
      <c r="H97" s="54" t="s">
        <v>6</v>
      </c>
      <c r="I97" s="54" t="s">
        <v>11</v>
      </c>
      <c r="M97" s="2"/>
      <c r="U97" s="161"/>
    </row>
    <row r="98" spans="2:21" ht="15" customHeight="1" thickTop="1">
      <c r="B98" s="180">
        <f>'[1]POOL-joueus'!$B$221</f>
        <v>26.087671232876712</v>
      </c>
      <c r="C98" s="180" t="str">
        <f>'[1]POOL-joueus'!$C$221</f>
        <v>Car</v>
      </c>
      <c r="D98" s="181" t="str">
        <f>'[1]POOL-joueus'!$D$221</f>
        <v>Tuomo Ruutu</v>
      </c>
      <c r="E98" s="180">
        <v>62</v>
      </c>
      <c r="F98" s="180">
        <v>17</v>
      </c>
      <c r="G98" s="180">
        <v>22</v>
      </c>
      <c r="H98" s="139">
        <f aca="true" t="shared" si="13" ref="H98:H108">SUM(F98:G98)</f>
        <v>39</v>
      </c>
      <c r="I98" s="182">
        <f aca="true" t="shared" si="14" ref="I98:I108">H98/E98</f>
        <v>0.6290322580645161</v>
      </c>
      <c r="M98" s="2"/>
      <c r="U98" s="161"/>
    </row>
    <row r="99" spans="2:21" ht="15" customHeight="1">
      <c r="B99" s="108">
        <f>'[1]POOL-joueus'!$B$243</f>
        <v>23.265753424657536</v>
      </c>
      <c r="C99" s="108" t="str">
        <f>'[1]POOL-joueus'!$C$243</f>
        <v>Chi</v>
      </c>
      <c r="D99" s="110" t="str">
        <f>'[1]POOL-joueus'!$D$243</f>
        <v>Andrew Ladd</v>
      </c>
      <c r="E99" s="108">
        <f>(('[1]POOL-joueus'!$E$243)-31)-8</f>
        <v>26</v>
      </c>
      <c r="F99" s="108">
        <f>(('[1]POOL-joueus'!$F$243)-6)</f>
        <v>5</v>
      </c>
      <c r="G99" s="108">
        <f>(('[1]POOL-joueus'!$G$243)-16)-3</f>
        <v>8</v>
      </c>
      <c r="H99" s="22">
        <f>SUM(F99:G99)</f>
        <v>13</v>
      </c>
      <c r="I99" s="23">
        <f>H99/E99</f>
        <v>0.5</v>
      </c>
      <c r="M99" s="2"/>
      <c r="U99" s="161"/>
    </row>
    <row r="100" spans="2:21" ht="15" customHeight="1">
      <c r="B100" s="109">
        <f>'[1]POOL-joueus'!$B$155</f>
        <v>34.131506849315066</v>
      </c>
      <c r="C100" s="109" t="str">
        <f>'[1]POOL-joueus'!$C$155</f>
        <v>Cgy</v>
      </c>
      <c r="D100" s="111" t="str">
        <f>'[1]POOL-joueus'!$D$155</f>
        <v>Todd Bertuzzi</v>
      </c>
      <c r="E100" s="109">
        <f>('[1]POOL-joueus'!$E$155)-45</f>
        <v>12</v>
      </c>
      <c r="F100" s="109">
        <f>('[1]POOL-joueus'!$F$155)-8</f>
        <v>7</v>
      </c>
      <c r="G100" s="109">
        <f>('[1]POOL-joueus'!$G$155)-26</f>
        <v>2</v>
      </c>
      <c r="H100" s="22">
        <f t="shared" si="13"/>
        <v>9</v>
      </c>
      <c r="I100" s="23">
        <f t="shared" si="14"/>
        <v>0.75</v>
      </c>
      <c r="J100" s="1" t="s">
        <v>234</v>
      </c>
      <c r="M100" s="2"/>
      <c r="U100" s="161"/>
    </row>
    <row r="101" spans="2:21" ht="15" customHeight="1">
      <c r="B101" s="109">
        <f>'[1]POOL-joueus'!$B$260</f>
        <v>29.953424657534246</v>
      </c>
      <c r="C101" s="109" t="str">
        <f>'[1]POOL-joueus'!$C$260</f>
        <v>Pit</v>
      </c>
      <c r="D101" s="111" t="str">
        <f>'[1]POOL-joueus'!$D$260</f>
        <v>Pascal Dupuis</v>
      </c>
      <c r="E101" s="109">
        <f>'[1]POOL-joueus'!$E$260</f>
        <v>58</v>
      </c>
      <c r="F101" s="109">
        <f>'[1]POOL-joueus'!$F$260</f>
        <v>10</v>
      </c>
      <c r="G101" s="109">
        <f>'[1]POOL-joueus'!$G$260</f>
        <v>12</v>
      </c>
      <c r="H101" s="22">
        <f t="shared" si="13"/>
        <v>22</v>
      </c>
      <c r="I101" s="23">
        <f t="shared" si="14"/>
        <v>0.3793103448275862</v>
      </c>
      <c r="M101" s="2"/>
      <c r="U101" s="161"/>
    </row>
    <row r="102" spans="2:21" ht="15" customHeight="1">
      <c r="B102" s="183">
        <f>'[1]POOL-joueus'!$B$182</f>
        <v>28.605479452054794</v>
      </c>
      <c r="C102" s="183" t="str">
        <f>'[1]POOL-joueus'!$C$182</f>
        <v>Cbj</v>
      </c>
      <c r="D102" s="184" t="str">
        <f>'[1]POOL-joueus'!$D$182</f>
        <v>Jason Williams</v>
      </c>
      <c r="E102" s="183">
        <v>25</v>
      </c>
      <c r="F102" s="183">
        <v>7</v>
      </c>
      <c r="G102" s="183">
        <v>10</v>
      </c>
      <c r="H102" s="139">
        <f>SUM(F102:G102)</f>
        <v>17</v>
      </c>
      <c r="I102" s="182">
        <f>H102/E102</f>
        <v>0.68</v>
      </c>
      <c r="M102" s="2"/>
      <c r="U102" s="161"/>
    </row>
    <row r="103" spans="2:21" ht="15" customHeight="1">
      <c r="B103" s="185">
        <f>'[1]POOL-joueus'!$B$78</f>
        <v>27.767123287671232</v>
      </c>
      <c r="C103" s="185" t="str">
        <f>'[1]POOL-joueus'!$C$78</f>
        <v>T.B.</v>
      </c>
      <c r="D103" s="186" t="str">
        <f>'[1]POOL-joueus'!$D$78</f>
        <v>Radim Vrbata</v>
      </c>
      <c r="E103" s="185">
        <v>15</v>
      </c>
      <c r="F103" s="185">
        <v>3</v>
      </c>
      <c r="G103" s="185">
        <v>3</v>
      </c>
      <c r="H103" s="139">
        <f t="shared" si="13"/>
        <v>6</v>
      </c>
      <c r="I103" s="182">
        <f t="shared" si="14"/>
        <v>0.4</v>
      </c>
      <c r="M103" s="2"/>
      <c r="U103" s="161"/>
    </row>
    <row r="104" spans="2:21" ht="15" customHeight="1">
      <c r="B104" s="183">
        <f>'[1]POOL-joueus'!$B$71</f>
        <v>36.983561643835614</v>
      </c>
      <c r="C104" s="183" t="str">
        <f>'[1]POOL-joueus'!$C$71</f>
        <v>Stl</v>
      </c>
      <c r="D104" s="184" t="str">
        <f>'[1]POOL-joueus'!$D$71</f>
        <v>Keith Tkachuk</v>
      </c>
      <c r="E104" s="183">
        <v>2</v>
      </c>
      <c r="F104" s="183">
        <v>3</v>
      </c>
      <c r="G104" s="183">
        <v>0</v>
      </c>
      <c r="H104" s="139">
        <f t="shared" si="13"/>
        <v>3</v>
      </c>
      <c r="I104" s="182">
        <f t="shared" si="14"/>
        <v>1.5</v>
      </c>
      <c r="M104" s="2"/>
      <c r="U104" s="161"/>
    </row>
    <row r="105" spans="2:21" ht="15" customHeight="1">
      <c r="B105" s="185">
        <f>'[1]POOL-joueus'!$B$110</f>
        <v>29.482191780821918</v>
      </c>
      <c r="C105" s="185" t="str">
        <f>'[1]POOL-joueus'!$C$110</f>
        <v>Pit</v>
      </c>
      <c r="D105" s="186" t="str">
        <f>'[1]POOL-joueus'!$D$110</f>
        <v>Chris Kunitz</v>
      </c>
      <c r="E105" s="185">
        <v>1</v>
      </c>
      <c r="F105" s="185">
        <v>1</v>
      </c>
      <c r="G105" s="185">
        <v>0</v>
      </c>
      <c r="H105" s="139">
        <f t="shared" si="13"/>
        <v>1</v>
      </c>
      <c r="I105" s="182">
        <f t="shared" si="14"/>
        <v>1</v>
      </c>
      <c r="M105" s="2"/>
      <c r="U105" s="161"/>
    </row>
    <row r="106" spans="2:21" ht="15" customHeight="1">
      <c r="B106" s="109">
        <f>'[1]POOL-joueus'!$B$170</f>
        <v>35.74246575342466</v>
      </c>
      <c r="C106" s="109" t="str">
        <f>'[1]POOL-joueus'!$C$170</f>
        <v>Dal</v>
      </c>
      <c r="D106" s="111" t="str">
        <f>'[1]POOL-joueus'!$D$170</f>
        <v>Jere Lehtinen</v>
      </c>
      <c r="E106" s="109">
        <f>('[1]POOL-joueus'!$E$170)-25</f>
        <v>10</v>
      </c>
      <c r="F106" s="109">
        <f>('[1]POOL-joueus'!$F$170)-8</f>
        <v>0</v>
      </c>
      <c r="G106" s="109">
        <f>('[1]POOL-joueus'!$G$170)-10</f>
        <v>5</v>
      </c>
      <c r="H106" s="22">
        <f t="shared" si="13"/>
        <v>5</v>
      </c>
      <c r="I106" s="23">
        <f t="shared" si="14"/>
        <v>0.5</v>
      </c>
      <c r="J106" s="1" t="s">
        <v>234</v>
      </c>
      <c r="M106" s="2"/>
      <c r="U106" s="161"/>
    </row>
    <row r="107" spans="2:21" ht="15" customHeight="1" thickBot="1">
      <c r="B107" s="107">
        <f>'[1]POOL-joueus'!$B$54</f>
        <v>34.43013698630137</v>
      </c>
      <c r="C107" s="107" t="str">
        <f>'[1]POOL-joueus'!$C$54</f>
        <v>Stl</v>
      </c>
      <c r="D107" s="124" t="str">
        <f>'[1]POOL-joueus'!$D$54</f>
        <v>Paul Kariya</v>
      </c>
      <c r="E107" s="123">
        <f>(('[1]POOL-joueus'!$E$54))-11</f>
        <v>0</v>
      </c>
      <c r="F107" s="123">
        <f>(('[1]POOL-joueus'!$F$54))-2</f>
        <v>0</v>
      </c>
      <c r="G107" s="123">
        <f>(('[1]POOL-joueus'!$G$54))-13</f>
        <v>0</v>
      </c>
      <c r="H107" s="40">
        <f t="shared" si="13"/>
        <v>0</v>
      </c>
      <c r="I107" s="41" t="e">
        <f t="shared" si="14"/>
        <v>#DIV/0!</v>
      </c>
      <c r="J107" s="1" t="s">
        <v>234</v>
      </c>
      <c r="M107" s="2"/>
      <c r="U107" s="161"/>
    </row>
    <row r="108" spans="2:21" ht="15" customHeight="1">
      <c r="B108" s="278" t="s">
        <v>7</v>
      </c>
      <c r="C108" s="281"/>
      <c r="D108" s="279"/>
      <c r="E108" s="22">
        <f>SUM(E98:E107)</f>
        <v>211</v>
      </c>
      <c r="F108" s="22">
        <f>SUM(F98:F107)</f>
        <v>53</v>
      </c>
      <c r="G108" s="22">
        <f>SUM(G98:G107)</f>
        <v>62</v>
      </c>
      <c r="H108" s="22">
        <f t="shared" si="13"/>
        <v>115</v>
      </c>
      <c r="I108" s="23">
        <f t="shared" si="14"/>
        <v>0.5450236966824644</v>
      </c>
      <c r="M108" s="2"/>
      <c r="U108" s="161"/>
    </row>
    <row r="109" spans="13:21" ht="15" customHeight="1">
      <c r="M109" s="2"/>
      <c r="U109" s="161"/>
    </row>
    <row r="110" spans="2:21" ht="15" customHeight="1">
      <c r="B110" s="251" t="s">
        <v>24</v>
      </c>
      <c r="C110" s="252"/>
      <c r="D110" s="252"/>
      <c r="E110" s="252"/>
      <c r="F110" s="252"/>
      <c r="G110" s="252"/>
      <c r="H110" s="252"/>
      <c r="I110" s="253"/>
      <c r="M110" s="2"/>
      <c r="U110" s="161"/>
    </row>
    <row r="111" spans="2:21" ht="15" customHeight="1" thickBot="1">
      <c r="B111" s="54" t="s">
        <v>15</v>
      </c>
      <c r="C111" s="54" t="s">
        <v>29</v>
      </c>
      <c r="D111" s="54" t="s">
        <v>17</v>
      </c>
      <c r="E111" s="54" t="s">
        <v>2</v>
      </c>
      <c r="F111" s="54" t="s">
        <v>21</v>
      </c>
      <c r="G111" s="54" t="s">
        <v>30</v>
      </c>
      <c r="H111" s="54" t="s">
        <v>6</v>
      </c>
      <c r="I111" s="54" t="s">
        <v>11</v>
      </c>
      <c r="M111" s="2"/>
      <c r="U111" s="161"/>
    </row>
    <row r="112" spans="2:21" ht="15" customHeight="1" thickTop="1">
      <c r="B112" s="109">
        <f>'[1]POOL-joueus'!$B$175</f>
        <v>33.83561643835616</v>
      </c>
      <c r="C112" s="109" t="str">
        <f>'[1]POOL-joueus'!$C$175</f>
        <v>Atl</v>
      </c>
      <c r="D112" s="111" t="str">
        <f>'[1]POOL-joueus'!$D$175</f>
        <v>Todd White</v>
      </c>
      <c r="E112" s="109">
        <f>('[1]POOL-joueus'!$E$175)-6</f>
        <v>62</v>
      </c>
      <c r="F112" s="109">
        <f>('[1]POOL-joueus'!$F$175)-1</f>
        <v>17</v>
      </c>
      <c r="G112" s="109">
        <f>('[1]POOL-joueus'!$G$175)-2</f>
        <v>40</v>
      </c>
      <c r="H112" s="22">
        <f aca="true" t="shared" si="15" ref="H112:H118">SUM(F112:G112)</f>
        <v>57</v>
      </c>
      <c r="I112" s="23">
        <f aca="true" t="shared" si="16" ref="I112:I118">H112/E112</f>
        <v>0.9193548387096774</v>
      </c>
      <c r="M112" s="2"/>
      <c r="U112" s="161"/>
    </row>
    <row r="113" spans="2:21" ht="15" customHeight="1">
      <c r="B113" s="180">
        <f>'[1]POOL-joueus'!$B$179</f>
        <v>21.46027397260274</v>
      </c>
      <c r="C113" s="180" t="str">
        <f>'[1]POOL-joueus'!$C$179</f>
        <v>Bos</v>
      </c>
      <c r="D113" s="181" t="str">
        <f>'[1]POOL-joueus'!$D$179</f>
        <v>Phil Kessel</v>
      </c>
      <c r="E113" s="183">
        <v>21</v>
      </c>
      <c r="F113" s="183">
        <v>14</v>
      </c>
      <c r="G113" s="183">
        <v>5</v>
      </c>
      <c r="H113" s="139">
        <f t="shared" si="15"/>
        <v>19</v>
      </c>
      <c r="I113" s="182">
        <f t="shared" si="16"/>
        <v>0.9047619047619048</v>
      </c>
      <c r="M113" s="2"/>
      <c r="U113" s="161"/>
    </row>
    <row r="114" spans="2:21" ht="15" customHeight="1">
      <c r="B114" s="109">
        <f>'[1]POOL-joueus'!$B$113</f>
        <v>28.52054794520548</v>
      </c>
      <c r="C114" s="109" t="str">
        <f>'[1]POOL-joueus'!$C$113</f>
        <v>Ott</v>
      </c>
      <c r="D114" s="111" t="str">
        <f>'[1]POOL-joueus'!$D$113</f>
        <v>Mike Comrie</v>
      </c>
      <c r="E114" s="109">
        <f>('[1]POOL-joueus'!$E$113)-3</f>
        <v>48</v>
      </c>
      <c r="F114" s="109">
        <f>('[1]POOL-joueus'!$F$113)-1</f>
        <v>8</v>
      </c>
      <c r="G114" s="109">
        <f>('[1]POOL-joueus'!$G$113)-0</f>
        <v>16</v>
      </c>
      <c r="H114" s="22">
        <f t="shared" si="15"/>
        <v>24</v>
      </c>
      <c r="I114" s="23">
        <f t="shared" si="16"/>
        <v>0.5</v>
      </c>
      <c r="M114" s="2"/>
      <c r="U114" s="161"/>
    </row>
    <row r="115" spans="2:21" ht="15" customHeight="1">
      <c r="B115" s="107">
        <f>'[1]POOL-joueus'!$B$52</f>
        <v>32.47945205479452</v>
      </c>
      <c r="C115" s="107" t="str">
        <f>'[1]POOL-joueus'!$C$52</f>
        <v>Cgy</v>
      </c>
      <c r="D115" s="124" t="str">
        <f>'[1]POOL-joueus'!$D$52</f>
        <v>Daymond Langkow</v>
      </c>
      <c r="E115" s="107">
        <f>('[1]POOL-joueus'!$E$52)-57</f>
        <v>2</v>
      </c>
      <c r="F115" s="107">
        <f>('[1]POOL-joueus'!$F$52)-18</f>
        <v>1</v>
      </c>
      <c r="G115" s="107">
        <f>('[1]POOL-joueus'!$G$52)-24</f>
        <v>0</v>
      </c>
      <c r="H115" s="22">
        <f>SUM(F115:G115)</f>
        <v>1</v>
      </c>
      <c r="I115" s="23">
        <f>H115/E115</f>
        <v>0.5</v>
      </c>
      <c r="J115" s="1" t="s">
        <v>234</v>
      </c>
      <c r="M115" s="2"/>
      <c r="U115" s="161"/>
    </row>
    <row r="116" spans="2:21" ht="15" customHeight="1">
      <c r="B116" s="183">
        <f>'[1]POOL-joueus'!$B$79</f>
        <v>34.326027397260276</v>
      </c>
      <c r="C116" s="183" t="str">
        <f>'[1]POOL-joueus'!$C$79</f>
        <v>Mtl</v>
      </c>
      <c r="D116" s="184" t="str">
        <f>'[1]POOL-joueus'!$D$79</f>
        <v>Saku Koivu</v>
      </c>
      <c r="E116" s="183">
        <v>14</v>
      </c>
      <c r="F116" s="183">
        <v>3</v>
      </c>
      <c r="G116" s="183">
        <v>8</v>
      </c>
      <c r="H116" s="139">
        <f t="shared" si="15"/>
        <v>11</v>
      </c>
      <c r="I116" s="182">
        <f t="shared" si="16"/>
        <v>0.7857142857142857</v>
      </c>
      <c r="M116" s="2"/>
      <c r="U116" s="161"/>
    </row>
    <row r="117" spans="2:21" ht="15" customHeight="1" thickBot="1">
      <c r="B117" s="109"/>
      <c r="C117" s="109"/>
      <c r="D117" s="111"/>
      <c r="E117" s="113"/>
      <c r="F117" s="113"/>
      <c r="G117" s="113"/>
      <c r="H117" s="40">
        <f t="shared" si="15"/>
        <v>0</v>
      </c>
      <c r="I117" s="41" t="e">
        <f t="shared" si="16"/>
        <v>#DIV/0!</v>
      </c>
      <c r="M117" s="2"/>
      <c r="U117" s="161"/>
    </row>
    <row r="118" spans="2:21" ht="15" customHeight="1">
      <c r="B118" s="278" t="s">
        <v>7</v>
      </c>
      <c r="C118" s="281"/>
      <c r="D118" s="279"/>
      <c r="E118" s="22">
        <f>SUM(E112:E117)</f>
        <v>147</v>
      </c>
      <c r="F118" s="22">
        <f>SUM(F112:F117)</f>
        <v>43</v>
      </c>
      <c r="G118" s="22">
        <f>SUM(G112:G117)</f>
        <v>69</v>
      </c>
      <c r="H118" s="22">
        <f t="shared" si="15"/>
        <v>112</v>
      </c>
      <c r="I118" s="23">
        <f t="shared" si="16"/>
        <v>0.7619047619047619</v>
      </c>
      <c r="M118" s="2"/>
      <c r="U118" s="161"/>
    </row>
    <row r="119" spans="13:21" ht="15" customHeight="1">
      <c r="M119" s="2"/>
      <c r="U119" s="161"/>
    </row>
    <row r="120" spans="2:21" ht="15" customHeight="1">
      <c r="B120" s="251" t="s">
        <v>25</v>
      </c>
      <c r="C120" s="252"/>
      <c r="D120" s="252"/>
      <c r="E120" s="252"/>
      <c r="F120" s="252"/>
      <c r="G120" s="252"/>
      <c r="H120" s="252"/>
      <c r="I120" s="253"/>
      <c r="M120" s="2"/>
      <c r="U120" s="161"/>
    </row>
    <row r="121" spans="2:21" ht="15" customHeight="1" thickBot="1">
      <c r="B121" s="54" t="s">
        <v>15</v>
      </c>
      <c r="C121" s="54" t="s">
        <v>29</v>
      </c>
      <c r="D121" s="54" t="s">
        <v>17</v>
      </c>
      <c r="E121" s="54" t="s">
        <v>2</v>
      </c>
      <c r="F121" s="54" t="s">
        <v>21</v>
      </c>
      <c r="G121" s="54" t="s">
        <v>30</v>
      </c>
      <c r="H121" s="54" t="s">
        <v>6</v>
      </c>
      <c r="I121" s="54" t="s">
        <v>11</v>
      </c>
      <c r="M121" s="2"/>
      <c r="T121" s="128"/>
      <c r="U121" s="161"/>
    </row>
    <row r="122" spans="2:21" ht="15" customHeight="1" thickTop="1">
      <c r="B122" s="183">
        <f>'[1]POOL-joueus'!$B$199</f>
        <v>35.71780821917808</v>
      </c>
      <c r="C122" s="183" t="str">
        <f>'[1]POOL-joueus'!$C$199</f>
        <v>Cgy</v>
      </c>
      <c r="D122" s="184" t="str">
        <f>'[1]POOL-joueus'!$D$199</f>
        <v>Adrian Aucoin</v>
      </c>
      <c r="E122" s="180">
        <v>11</v>
      </c>
      <c r="F122" s="180">
        <v>1</v>
      </c>
      <c r="G122" s="180">
        <v>1</v>
      </c>
      <c r="H122" s="180">
        <f aca="true" t="shared" si="17" ref="H122:H129">SUM(F122:G122)</f>
        <v>2</v>
      </c>
      <c r="I122" s="182">
        <f aca="true" t="shared" si="18" ref="I122:I129">H122/E122</f>
        <v>0.18181818181818182</v>
      </c>
      <c r="M122" s="2"/>
      <c r="U122" s="161"/>
    </row>
    <row r="123" spans="2:21" ht="15" customHeight="1">
      <c r="B123" s="185">
        <f>'[1]POOL-joueus'!$B$272</f>
        <v>27.465753424657535</v>
      </c>
      <c r="C123" s="185" t="str">
        <f>'[1]POOL-joueus'!$C$272</f>
        <v>N.J.</v>
      </c>
      <c r="D123" s="186" t="str">
        <f>'[1]POOL-joueus'!$D$272</f>
        <v>Johnny Oduya</v>
      </c>
      <c r="E123" s="185">
        <v>62</v>
      </c>
      <c r="F123" s="185">
        <v>6</v>
      </c>
      <c r="G123" s="185">
        <v>20</v>
      </c>
      <c r="H123" s="180">
        <f t="shared" si="17"/>
        <v>26</v>
      </c>
      <c r="I123" s="182">
        <f t="shared" si="18"/>
        <v>0.41935483870967744</v>
      </c>
      <c r="M123" s="2"/>
      <c r="U123" s="161"/>
    </row>
    <row r="124" spans="2:21" ht="15" customHeight="1">
      <c r="B124" s="185">
        <f>'[1]POOL-joueus'!$B$301</f>
        <v>29.926027397260274</v>
      </c>
      <c r="C124" s="185" t="str">
        <f>'[1]POOL-joueus'!$C$301</f>
        <v>Stl</v>
      </c>
      <c r="D124" s="186" t="str">
        <f>'[1]POOL-joueus'!$D$301</f>
        <v>Eric Brewer</v>
      </c>
      <c r="E124" s="185">
        <v>28</v>
      </c>
      <c r="F124" s="185">
        <v>1</v>
      </c>
      <c r="G124" s="185">
        <v>5</v>
      </c>
      <c r="H124" s="180">
        <f t="shared" si="17"/>
        <v>6</v>
      </c>
      <c r="I124" s="182">
        <f t="shared" si="18"/>
        <v>0.21428571428571427</v>
      </c>
      <c r="M124" s="2"/>
      <c r="U124" s="161"/>
    </row>
    <row r="125" spans="2:21" ht="15" customHeight="1">
      <c r="B125" s="180">
        <f>'[1]POOL-joueus'!$B$274</f>
        <v>22.28219178082192</v>
      </c>
      <c r="C125" s="180" t="str">
        <f>'[1]POOL-joueus'!$C$274</f>
        <v>Dal</v>
      </c>
      <c r="D125" s="181" t="str">
        <f>'[1]POOL-joueus'!$D$274</f>
        <v>Matt Niskanen</v>
      </c>
      <c r="E125" s="180">
        <v>34</v>
      </c>
      <c r="F125" s="180">
        <v>3</v>
      </c>
      <c r="G125" s="180">
        <v>12</v>
      </c>
      <c r="H125" s="180">
        <f t="shared" si="17"/>
        <v>15</v>
      </c>
      <c r="I125" s="182">
        <f t="shared" si="18"/>
        <v>0.4411764705882353</v>
      </c>
      <c r="M125" s="2"/>
      <c r="U125" s="161"/>
    </row>
    <row r="126" spans="2:21" ht="15" customHeight="1">
      <c r="B126" s="108">
        <f>'[1]POOL-joueus'!$B$422</f>
        <v>23.44109589041096</v>
      </c>
      <c r="C126" s="108" t="str">
        <f>'[1]POOL-joueus'!$C$422</f>
        <v>Ott</v>
      </c>
      <c r="D126" s="110" t="str">
        <f>'[1]POOL-joueus'!$D$422</f>
        <v>Alex Picard</v>
      </c>
      <c r="E126" s="108">
        <f>('[1]POOL-joueus'!$E$422)-45</f>
        <v>2</v>
      </c>
      <c r="F126" s="108">
        <f>('[1]POOL-joueus'!$F$422)-6</f>
        <v>0</v>
      </c>
      <c r="G126" s="108">
        <f>('[1]POOL-joueus'!$G$422)-8</f>
        <v>0</v>
      </c>
      <c r="H126" s="108">
        <f>SUM(F126:G126)</f>
        <v>0</v>
      </c>
      <c r="I126" s="23">
        <f>H126/E126</f>
        <v>0</v>
      </c>
      <c r="M126" s="2"/>
      <c r="U126" s="161"/>
    </row>
    <row r="127" spans="2:21" ht="15" customHeight="1">
      <c r="B127" s="109">
        <f>'[1]POOL-joueus'!$B$167</f>
        <v>24.367123287671234</v>
      </c>
      <c r="C127" s="109" t="str">
        <f>'[1]POOL-joueus'!$C$167</f>
        <v>Atl</v>
      </c>
      <c r="D127" s="111" t="str">
        <f>'[1]POOL-joueus'!$D$167</f>
        <v>Tobias Enstrom</v>
      </c>
      <c r="E127" s="109">
        <f>('[1]POOL-joueus'!$E$167)-62</f>
        <v>6</v>
      </c>
      <c r="F127" s="109">
        <f>('[1]POOL-joueus'!$F$167)-2</f>
        <v>1</v>
      </c>
      <c r="G127" s="109">
        <f>('[1]POOL-joueus'!$G$167)-13</f>
        <v>2</v>
      </c>
      <c r="H127" s="108">
        <f>SUM(F127:G127)</f>
        <v>3</v>
      </c>
      <c r="I127" s="23">
        <f>H127/E127</f>
        <v>0.5</v>
      </c>
      <c r="M127" s="2"/>
      <c r="U127" s="161"/>
    </row>
    <row r="128" spans="2:21" ht="15" customHeight="1" thickBot="1">
      <c r="B128" s="106">
        <f>'[1]POOL-joueus'!$B$99</f>
        <v>31.052054794520547</v>
      </c>
      <c r="C128" s="106" t="str">
        <f>'[1]POOL-joueus'!$C$99</f>
        <v>Tor</v>
      </c>
      <c r="D128" s="126" t="str">
        <f>'[1]POOL-joueus'!$D$99</f>
        <v>Tomas Kaberle</v>
      </c>
      <c r="E128" s="123">
        <f>('[1]POOL-joueus'!$E$99)-51</f>
        <v>0</v>
      </c>
      <c r="F128" s="123">
        <f>('[1]POOL-joueus'!$F$99)-4</f>
        <v>0</v>
      </c>
      <c r="G128" s="123">
        <f>('[1]POOL-joueus'!$G$99)-27</f>
        <v>0</v>
      </c>
      <c r="H128" s="40">
        <f t="shared" si="17"/>
        <v>0</v>
      </c>
      <c r="I128" s="41" t="e">
        <f t="shared" si="18"/>
        <v>#DIV/0!</v>
      </c>
      <c r="J128" s="1" t="s">
        <v>234</v>
      </c>
      <c r="M128" s="2"/>
      <c r="U128" s="161"/>
    </row>
    <row r="129" spans="2:21" ht="15" customHeight="1">
      <c r="B129" s="278" t="s">
        <v>7</v>
      </c>
      <c r="C129" s="281"/>
      <c r="D129" s="279"/>
      <c r="E129" s="22">
        <f>SUM(E122:E128)</f>
        <v>143</v>
      </c>
      <c r="F129" s="22">
        <f>SUM(F122:F128)</f>
        <v>12</v>
      </c>
      <c r="G129" s="22">
        <f>SUM(G122:G128)</f>
        <v>40</v>
      </c>
      <c r="H129" s="22">
        <f t="shared" si="17"/>
        <v>52</v>
      </c>
      <c r="I129" s="23">
        <f t="shared" si="18"/>
        <v>0.36363636363636365</v>
      </c>
      <c r="M129" s="2"/>
      <c r="U129" s="161"/>
    </row>
    <row r="130" spans="13:21" ht="15" customHeight="1">
      <c r="M130" s="2"/>
      <c r="U130" s="161"/>
    </row>
    <row r="131" spans="2:21" ht="15" customHeight="1">
      <c r="B131" s="251" t="s">
        <v>141</v>
      </c>
      <c r="C131" s="252"/>
      <c r="D131" s="252"/>
      <c r="E131" s="252"/>
      <c r="F131" s="252"/>
      <c r="G131" s="252"/>
      <c r="H131" s="252"/>
      <c r="I131" s="252"/>
      <c r="J131" s="252"/>
      <c r="K131" s="253"/>
      <c r="M131" s="2"/>
      <c r="U131" s="161"/>
    </row>
    <row r="132" spans="2:21" ht="15" customHeight="1" thickBot="1">
      <c r="B132" s="54" t="s">
        <v>15</v>
      </c>
      <c r="C132" s="54" t="s">
        <v>16</v>
      </c>
      <c r="D132" s="54" t="s">
        <v>17</v>
      </c>
      <c r="E132" s="54" t="s">
        <v>2</v>
      </c>
      <c r="F132" s="54" t="s">
        <v>18</v>
      </c>
      <c r="G132" s="54" t="s">
        <v>19</v>
      </c>
      <c r="H132" s="54" t="s">
        <v>20</v>
      </c>
      <c r="I132" s="54" t="s">
        <v>21</v>
      </c>
      <c r="J132" s="54" t="s">
        <v>22</v>
      </c>
      <c r="K132" s="54" t="s">
        <v>6</v>
      </c>
      <c r="L132" s="127"/>
      <c r="M132" s="2"/>
      <c r="U132" s="161"/>
    </row>
    <row r="133" spans="2:21" ht="13.5" thickTop="1">
      <c r="B133" s="121"/>
      <c r="C133" s="121"/>
      <c r="D133" s="122"/>
      <c r="E133" s="121"/>
      <c r="F133" s="121"/>
      <c r="G133" s="121"/>
      <c r="H133" s="121"/>
      <c r="I133" s="121"/>
      <c r="J133" s="121"/>
      <c r="K133" s="103">
        <f>(F133*2)+G133+(H133*4)+(I133*10)+J133</f>
        <v>0</v>
      </c>
      <c r="M133" s="2"/>
      <c r="U133" s="161"/>
    </row>
    <row r="134" spans="2:21" ht="12.75">
      <c r="B134" s="108"/>
      <c r="C134" s="108"/>
      <c r="D134" s="110"/>
      <c r="E134" s="108"/>
      <c r="F134" s="108"/>
      <c r="G134" s="108"/>
      <c r="H134" s="108"/>
      <c r="I134" s="108"/>
      <c r="J134" s="108"/>
      <c r="K134" s="14">
        <f>(F134*2)+G134+(H134*4)+(I134*10)+J134</f>
        <v>0</v>
      </c>
      <c r="M134" s="2"/>
      <c r="U134" s="161"/>
    </row>
    <row r="135" spans="2:21" ht="13.5" thickBot="1">
      <c r="B135" s="108"/>
      <c r="C135" s="108"/>
      <c r="D135" s="110"/>
      <c r="E135" s="113"/>
      <c r="F135" s="113"/>
      <c r="G135" s="113"/>
      <c r="H135" s="113"/>
      <c r="I135" s="113"/>
      <c r="J135" s="113"/>
      <c r="K135" s="36">
        <f>(F135*2)+G135+(H135*4)+(I135*10)+J135</f>
        <v>0</v>
      </c>
      <c r="M135" s="2"/>
      <c r="U135" s="161"/>
    </row>
    <row r="136" spans="2:21" ht="12.75">
      <c r="B136" s="274" t="s">
        <v>26</v>
      </c>
      <c r="C136" s="275"/>
      <c r="D136" s="255"/>
      <c r="E136" s="106">
        <f aca="true" t="shared" si="19" ref="E136:J136">SUM(E133:E135)</f>
        <v>0</v>
      </c>
      <c r="F136" s="106">
        <f t="shared" si="19"/>
        <v>0</v>
      </c>
      <c r="G136" s="106">
        <f t="shared" si="19"/>
        <v>0</v>
      </c>
      <c r="H136" s="106">
        <f t="shared" si="19"/>
        <v>0</v>
      </c>
      <c r="I136" s="106">
        <f t="shared" si="19"/>
        <v>0</v>
      </c>
      <c r="J136" s="106">
        <f t="shared" si="19"/>
        <v>0</v>
      </c>
      <c r="K136" s="14">
        <f>(F136*2)+G136+(H136*4)+(I136*10)+J136</f>
        <v>0</v>
      </c>
      <c r="M136" s="2"/>
      <c r="U136" s="161"/>
    </row>
    <row r="137" spans="2:21" ht="13.5">
      <c r="B137" s="251" t="s">
        <v>140</v>
      </c>
      <c r="C137" s="252"/>
      <c r="D137" s="252"/>
      <c r="E137" s="252"/>
      <c r="F137" s="252"/>
      <c r="G137" s="252"/>
      <c r="H137" s="252"/>
      <c r="I137" s="253"/>
      <c r="M137" s="2"/>
      <c r="U137" s="161"/>
    </row>
    <row r="138" spans="1:21" ht="13.5" thickBot="1">
      <c r="A138" s="54" t="s">
        <v>143</v>
      </c>
      <c r="B138" s="54" t="s">
        <v>15</v>
      </c>
      <c r="C138" s="54" t="s">
        <v>29</v>
      </c>
      <c r="D138" s="54" t="s">
        <v>17</v>
      </c>
      <c r="E138" s="54" t="s">
        <v>2</v>
      </c>
      <c r="F138" s="54" t="s">
        <v>21</v>
      </c>
      <c r="G138" s="54" t="s">
        <v>30</v>
      </c>
      <c r="H138" s="54" t="s">
        <v>6</v>
      </c>
      <c r="I138" s="54" t="s">
        <v>11</v>
      </c>
      <c r="M138" s="2"/>
      <c r="U138" s="161"/>
    </row>
    <row r="139" spans="1:21" ht="13.5" thickTop="1">
      <c r="A139" s="108" t="s">
        <v>145</v>
      </c>
      <c r="B139" s="108">
        <f>'[1]POOL-joueus'!$B$496</f>
        <v>23.586301369863012</v>
      </c>
      <c r="C139" s="108" t="str">
        <f>'[1]POOL-joueus'!$C$496</f>
        <v>Chi</v>
      </c>
      <c r="D139" s="110" t="str">
        <f>'[1]POOL-joueus'!$D$496</f>
        <v>Troy Brouwer</v>
      </c>
      <c r="E139" s="108">
        <f>('[1]POOL-joueus'!$E$496)-29</f>
        <v>27</v>
      </c>
      <c r="F139" s="108">
        <f>('[1]POOL-joueus'!$F$496)-6</f>
        <v>4</v>
      </c>
      <c r="G139" s="108">
        <f>('[1]POOL-joueus'!$G$496)-7</f>
        <v>7</v>
      </c>
      <c r="H139" s="22">
        <f aca="true" t="shared" si="20" ref="H139:H145">SUM(F139:G139)</f>
        <v>11</v>
      </c>
      <c r="I139" s="23">
        <f aca="true" t="shared" si="21" ref="I139:I146">H139/E139</f>
        <v>0.4074074074074074</v>
      </c>
      <c r="M139" s="2"/>
      <c r="U139" s="161"/>
    </row>
    <row r="140" spans="1:21" ht="12.75">
      <c r="A140" s="108" t="s">
        <v>235</v>
      </c>
      <c r="B140" s="108">
        <f>'[1]POOL-joueus'!$B$628</f>
        <v>19.372602739726027</v>
      </c>
      <c r="C140" s="108" t="str">
        <f>'[1]POOL-joueus'!$C$628</f>
        <v>Tor</v>
      </c>
      <c r="D140" s="110" t="str">
        <f>'[1]POOL-joueus'!$D$628</f>
        <v>Luke Schenn</v>
      </c>
      <c r="E140" s="108">
        <f>('[1]POOL-joueus'!$E$628)-38</f>
        <v>19</v>
      </c>
      <c r="F140" s="108">
        <f>('[1]POOL-joueus'!$F$628)-0</f>
        <v>1</v>
      </c>
      <c r="G140" s="108">
        <f>('[1]POOL-joueus'!$G$628)-5</f>
        <v>1</v>
      </c>
      <c r="H140" s="22">
        <f>SUM(F140:G140)</f>
        <v>2</v>
      </c>
      <c r="I140" s="23">
        <f>H140/E140</f>
        <v>0.10526315789473684</v>
      </c>
      <c r="M140" s="2"/>
      <c r="N140" s="81"/>
      <c r="O140" s="81"/>
      <c r="P140" s="81"/>
      <c r="Q140" s="81"/>
      <c r="R140" s="81"/>
      <c r="S140" s="81"/>
      <c r="U140" s="161"/>
    </row>
    <row r="141" spans="1:21" ht="13.5" thickBot="1">
      <c r="A141" s="180" t="s">
        <v>145</v>
      </c>
      <c r="B141" s="180">
        <f>'[1]POOL-joueus'!$B$424</f>
        <v>21.832876712328765</v>
      </c>
      <c r="C141" s="180" t="str">
        <f>'[1]POOL-joueus'!$C$424</f>
        <v>Chi</v>
      </c>
      <c r="D141" s="181" t="str">
        <f>'[1]POOL-joueus'!$D$424</f>
        <v>Jack Skille</v>
      </c>
      <c r="E141" s="180">
        <v>6</v>
      </c>
      <c r="F141" s="180">
        <v>1</v>
      </c>
      <c r="G141" s="180">
        <v>0</v>
      </c>
      <c r="H141" s="139">
        <f t="shared" si="20"/>
        <v>1</v>
      </c>
      <c r="I141" s="182">
        <f t="shared" si="21"/>
        <v>0.16666666666666666</v>
      </c>
      <c r="M141" s="2"/>
      <c r="U141" s="161"/>
    </row>
    <row r="142" spans="1:21" ht="13.5" thickTop="1">
      <c r="A142" s="180" t="s">
        <v>145</v>
      </c>
      <c r="B142" s="180">
        <f>'[1]POOL-joueus'!$B$434</f>
        <v>22.46849315068493</v>
      </c>
      <c r="C142" s="180" t="str">
        <f>'[1]POOL-joueus'!$C$434</f>
        <v>Min</v>
      </c>
      <c r="D142" s="181" t="str">
        <f>'[1]POOL-joueus'!$D$434</f>
        <v>Benoit Pouliot</v>
      </c>
      <c r="E142" s="180">
        <v>31</v>
      </c>
      <c r="F142" s="180">
        <v>3</v>
      </c>
      <c r="G142" s="180">
        <v>5</v>
      </c>
      <c r="H142" s="139">
        <f t="shared" si="20"/>
        <v>8</v>
      </c>
      <c r="I142" s="182">
        <f t="shared" si="21"/>
        <v>0.25806451612903225</v>
      </c>
      <c r="M142" s="2"/>
      <c r="N142" s="135" t="s">
        <v>70</v>
      </c>
      <c r="O142" s="134"/>
      <c r="U142" s="161"/>
    </row>
    <row r="143" spans="1:21" ht="14.25" thickBot="1">
      <c r="A143" s="183" t="s">
        <v>145</v>
      </c>
      <c r="B143" s="180">
        <f>'[1]POOL-joueus'!$B$622</f>
        <v>22.235616438356164</v>
      </c>
      <c r="C143" s="180" t="str">
        <f>'[1]POOL-joueus'!$C$622</f>
        <v>Stl</v>
      </c>
      <c r="D143" s="181" t="str">
        <f>'[1]POOL-joueus'!$D$622</f>
        <v>T.J. Oshie</v>
      </c>
      <c r="E143" s="183">
        <v>2</v>
      </c>
      <c r="F143" s="183">
        <v>0</v>
      </c>
      <c r="G143" s="183">
        <v>0</v>
      </c>
      <c r="H143" s="139">
        <f t="shared" si="20"/>
        <v>0</v>
      </c>
      <c r="I143" s="182">
        <f>H143/E143</f>
        <v>0</v>
      </c>
      <c r="M143" s="2"/>
      <c r="N143" s="86" t="s">
        <v>82</v>
      </c>
      <c r="O143" s="86" t="s">
        <v>81</v>
      </c>
      <c r="U143" s="161"/>
    </row>
    <row r="144" spans="1:21" ht="12.75">
      <c r="A144" s="108" t="s">
        <v>144</v>
      </c>
      <c r="B144" s="108">
        <f>'[1]POOL-joueus'!$B$447</f>
        <v>20.07123287671233</v>
      </c>
      <c r="C144" s="108" t="str">
        <f>'[1]POOL-joueus'!$C$447</f>
        <v>Atl</v>
      </c>
      <c r="D144" s="110" t="str">
        <f>'[1]POOL-joueus'!$D$447</f>
        <v>Angelo Esposito</v>
      </c>
      <c r="E144" s="108">
        <f>'[1]POOL-joueus'!$E$447</f>
        <v>0</v>
      </c>
      <c r="F144" s="108">
        <f>'[1]POOL-joueus'!$F$447</f>
        <v>0</v>
      </c>
      <c r="G144" s="108">
        <f>'[1]POOL-joueus'!$G$447</f>
        <v>0</v>
      </c>
      <c r="H144" s="22">
        <f t="shared" si="20"/>
        <v>0</v>
      </c>
      <c r="I144" s="23" t="e">
        <f t="shared" si="21"/>
        <v>#DIV/0!</v>
      </c>
      <c r="J144" s="1" t="s">
        <v>486</v>
      </c>
      <c r="M144" s="2"/>
      <c r="N144" s="85" t="s">
        <v>71</v>
      </c>
      <c r="O144" s="87">
        <v>5</v>
      </c>
      <c r="U144" s="161"/>
    </row>
    <row r="145" spans="1:21" ht="13.5" thickBot="1">
      <c r="A145" s="108"/>
      <c r="B145" s="108"/>
      <c r="C145" s="108"/>
      <c r="D145" s="110"/>
      <c r="E145" s="113"/>
      <c r="F145" s="113"/>
      <c r="G145" s="113"/>
      <c r="H145" s="114">
        <f t="shared" si="20"/>
        <v>0</v>
      </c>
      <c r="I145" s="115" t="e">
        <f t="shared" si="21"/>
        <v>#DIV/0!</v>
      </c>
      <c r="M145" s="2"/>
      <c r="N145" s="83" t="s">
        <v>72</v>
      </c>
      <c r="O145" s="88">
        <v>6</v>
      </c>
      <c r="U145" s="161"/>
    </row>
    <row r="146" spans="2:21" ht="12.75">
      <c r="B146" s="278" t="s">
        <v>7</v>
      </c>
      <c r="C146" s="281"/>
      <c r="D146" s="279"/>
      <c r="E146" s="22">
        <f>SUM(E139:E145)</f>
        <v>85</v>
      </c>
      <c r="F146" s="22">
        <f>SUM(F139:F145)</f>
        <v>9</v>
      </c>
      <c r="G146" s="22">
        <f>SUM(G139:G145)</f>
        <v>13</v>
      </c>
      <c r="H146" s="22">
        <f>SUM(H139:H145)</f>
        <v>22</v>
      </c>
      <c r="I146" s="23">
        <f t="shared" si="21"/>
        <v>0.25882352941176473</v>
      </c>
      <c r="M146" s="2"/>
      <c r="N146" s="91" t="s">
        <v>238</v>
      </c>
      <c r="O146" s="92">
        <f>SUM(O144:O145)</f>
        <v>11</v>
      </c>
      <c r="U146" s="161"/>
    </row>
    <row r="147" spans="2:21" ht="12.75">
      <c r="B147" s="76"/>
      <c r="C147" s="76"/>
      <c r="D147" s="76"/>
      <c r="E147" s="53"/>
      <c r="F147" s="53"/>
      <c r="G147" s="53"/>
      <c r="H147" s="53"/>
      <c r="I147" s="77"/>
      <c r="M147" s="2"/>
      <c r="N147" s="84"/>
      <c r="O147" s="89"/>
      <c r="U147" s="161"/>
    </row>
    <row r="148" spans="2:21" ht="12.75">
      <c r="B148" s="278" t="s">
        <v>142</v>
      </c>
      <c r="C148" s="281"/>
      <c r="D148" s="279"/>
      <c r="E148" s="109">
        <f>E136+E146</f>
        <v>85</v>
      </c>
      <c r="F148" s="112"/>
      <c r="G148" s="112"/>
      <c r="H148" s="28">
        <f>K136+H146</f>
        <v>22</v>
      </c>
      <c r="I148" s="29">
        <f>H148/E148</f>
        <v>0.25882352941176473</v>
      </c>
      <c r="M148" s="2"/>
      <c r="N148" s="83" t="s">
        <v>73</v>
      </c>
      <c r="O148" s="90">
        <v>2</v>
      </c>
      <c r="U148" s="161"/>
    </row>
    <row r="149" spans="2:21" ht="12.75">
      <c r="B149" s="76"/>
      <c r="C149" s="76"/>
      <c r="D149" s="76"/>
      <c r="E149" s="53"/>
      <c r="F149" s="53"/>
      <c r="G149" s="53"/>
      <c r="H149" s="53"/>
      <c r="I149" s="77"/>
      <c r="M149" s="2"/>
      <c r="N149" s="83" t="s">
        <v>74</v>
      </c>
      <c r="O149" s="90">
        <v>26</v>
      </c>
      <c r="U149" s="161"/>
    </row>
    <row r="150" spans="2:21" ht="12.75">
      <c r="B150" s="78"/>
      <c r="C150" s="78"/>
      <c r="D150" s="78"/>
      <c r="E150" s="79"/>
      <c r="F150" s="79"/>
      <c r="G150" s="79"/>
      <c r="H150" s="79"/>
      <c r="I150" s="80"/>
      <c r="J150" s="81"/>
      <c r="K150" s="81"/>
      <c r="M150" s="2"/>
      <c r="N150" s="83" t="s">
        <v>75</v>
      </c>
      <c r="O150" s="90"/>
      <c r="U150" s="161"/>
    </row>
    <row r="151" spans="13:21" ht="13.5" thickBot="1">
      <c r="M151" s="2"/>
      <c r="N151" s="83" t="s">
        <v>76</v>
      </c>
      <c r="O151" s="90">
        <v>2</v>
      </c>
      <c r="U151" s="161"/>
    </row>
    <row r="152" spans="2:21" ht="13.5" thickBot="1">
      <c r="B152" s="284" t="s">
        <v>49</v>
      </c>
      <c r="C152" s="285"/>
      <c r="D152" s="285"/>
      <c r="E152" s="285"/>
      <c r="F152" s="285"/>
      <c r="G152" s="285"/>
      <c r="H152" s="285"/>
      <c r="I152" s="285"/>
      <c r="J152" s="285"/>
      <c r="K152" s="286"/>
      <c r="M152" s="2"/>
      <c r="N152" s="83" t="s">
        <v>79</v>
      </c>
      <c r="O152" s="90"/>
      <c r="U152" s="161"/>
    </row>
    <row r="153" spans="2:21" ht="12.75">
      <c r="B153" s="287" t="s">
        <v>50</v>
      </c>
      <c r="C153" s="288"/>
      <c r="D153" s="58" t="s">
        <v>51</v>
      </c>
      <c r="E153" s="313" t="s">
        <v>52</v>
      </c>
      <c r="F153" s="314"/>
      <c r="G153" s="313" t="s">
        <v>53</v>
      </c>
      <c r="H153" s="323"/>
      <c r="I153" s="314"/>
      <c r="J153" s="313" t="s">
        <v>54</v>
      </c>
      <c r="K153" s="314"/>
      <c r="M153" s="2"/>
      <c r="N153" s="83" t="s">
        <v>77</v>
      </c>
      <c r="O153" s="90"/>
      <c r="U153" s="161"/>
    </row>
    <row r="154" spans="2:21" ht="12.75">
      <c r="B154" s="259" t="s">
        <v>185</v>
      </c>
      <c r="C154" s="260"/>
      <c r="D154" s="47" t="s">
        <v>202</v>
      </c>
      <c r="E154" s="259" t="s">
        <v>192</v>
      </c>
      <c r="F154" s="260"/>
      <c r="G154" s="259" t="s">
        <v>203</v>
      </c>
      <c r="H154" s="261"/>
      <c r="I154" s="260"/>
      <c r="J154" s="259" t="s">
        <v>204</v>
      </c>
      <c r="K154" s="260"/>
      <c r="M154" s="2"/>
      <c r="N154" s="83" t="s">
        <v>78</v>
      </c>
      <c r="O154" s="90">
        <v>4</v>
      </c>
      <c r="U154" s="161"/>
    </row>
    <row r="155" spans="2:21" ht="12.75">
      <c r="B155" s="259" t="s">
        <v>185</v>
      </c>
      <c r="C155" s="260"/>
      <c r="D155" s="47" t="s">
        <v>211</v>
      </c>
      <c r="E155" s="259" t="s">
        <v>212</v>
      </c>
      <c r="F155" s="260"/>
      <c r="G155" s="259" t="s">
        <v>213</v>
      </c>
      <c r="H155" s="261"/>
      <c r="I155" s="260"/>
      <c r="J155" s="259" t="s">
        <v>214</v>
      </c>
      <c r="K155" s="260"/>
      <c r="M155" s="2"/>
      <c r="N155" s="84"/>
      <c r="O155" s="89"/>
      <c r="U155" s="161"/>
    </row>
    <row r="156" spans="2:21" ht="12.75">
      <c r="B156" s="259" t="s">
        <v>288</v>
      </c>
      <c r="C156" s="260"/>
      <c r="D156" s="47" t="s">
        <v>289</v>
      </c>
      <c r="E156" s="259" t="s">
        <v>250</v>
      </c>
      <c r="F156" s="260"/>
      <c r="G156" s="259" t="s">
        <v>290</v>
      </c>
      <c r="H156" s="261"/>
      <c r="I156" s="260"/>
      <c r="J156" s="259" t="s">
        <v>291</v>
      </c>
      <c r="K156" s="260"/>
      <c r="M156" s="2"/>
      <c r="N156" s="93" t="s">
        <v>80</v>
      </c>
      <c r="O156" s="94">
        <f>SUM(O146:O154)</f>
        <v>45</v>
      </c>
      <c r="U156" s="161"/>
    </row>
    <row r="157" spans="2:21" ht="12.75">
      <c r="B157" s="259" t="s">
        <v>288</v>
      </c>
      <c r="C157" s="260"/>
      <c r="D157" s="47" t="s">
        <v>292</v>
      </c>
      <c r="E157" s="259" t="s">
        <v>250</v>
      </c>
      <c r="F157" s="260"/>
      <c r="G157" s="259" t="s">
        <v>293</v>
      </c>
      <c r="H157" s="261"/>
      <c r="I157" s="260"/>
      <c r="J157" s="259" t="s">
        <v>294</v>
      </c>
      <c r="K157" s="260"/>
      <c r="L157" s="142"/>
      <c r="M157" s="2"/>
      <c r="U157" s="161"/>
    </row>
    <row r="158" spans="2:21" ht="12.75">
      <c r="B158" s="259" t="s">
        <v>244</v>
      </c>
      <c r="C158" s="260"/>
      <c r="D158" s="47" t="s">
        <v>342</v>
      </c>
      <c r="E158" s="259" t="s">
        <v>241</v>
      </c>
      <c r="F158" s="260"/>
      <c r="G158" s="259" t="s">
        <v>343</v>
      </c>
      <c r="H158" s="261"/>
      <c r="I158" s="260"/>
      <c r="J158" s="259" t="s">
        <v>344</v>
      </c>
      <c r="K158" s="260"/>
      <c r="M158" s="2"/>
      <c r="U158" s="161"/>
    </row>
    <row r="159" spans="2:21" ht="12.75">
      <c r="B159" s="259" t="s">
        <v>244</v>
      </c>
      <c r="C159" s="260"/>
      <c r="D159" s="47" t="s">
        <v>419</v>
      </c>
      <c r="E159" s="259" t="s">
        <v>241</v>
      </c>
      <c r="F159" s="260"/>
      <c r="G159" s="259" t="s">
        <v>420</v>
      </c>
      <c r="H159" s="261"/>
      <c r="I159" s="260"/>
      <c r="J159" s="259" t="s">
        <v>421</v>
      </c>
      <c r="K159" s="260"/>
      <c r="U159" s="161"/>
    </row>
    <row r="160" spans="2:11" ht="12.75">
      <c r="B160" s="259" t="s">
        <v>288</v>
      </c>
      <c r="C160" s="260"/>
      <c r="D160" s="47" t="s">
        <v>480</v>
      </c>
      <c r="E160" s="259" t="s">
        <v>250</v>
      </c>
      <c r="F160" s="260"/>
      <c r="G160" s="259" t="s">
        <v>481</v>
      </c>
      <c r="H160" s="261"/>
      <c r="I160" s="260"/>
      <c r="J160" s="259" t="s">
        <v>482</v>
      </c>
      <c r="K160" s="260"/>
    </row>
    <row r="161" spans="2:11" ht="12.75">
      <c r="B161" s="259" t="s">
        <v>234</v>
      </c>
      <c r="C161" s="260"/>
      <c r="D161" s="47" t="s">
        <v>483</v>
      </c>
      <c r="E161" s="259" t="s">
        <v>250</v>
      </c>
      <c r="F161" s="260"/>
      <c r="G161" s="259" t="s">
        <v>484</v>
      </c>
      <c r="H161" s="261"/>
      <c r="I161" s="260"/>
      <c r="J161" s="259" t="s">
        <v>485</v>
      </c>
      <c r="K161" s="260"/>
    </row>
    <row r="162" spans="2:11" ht="12.75">
      <c r="B162" s="259" t="s">
        <v>234</v>
      </c>
      <c r="C162" s="260"/>
      <c r="D162" s="47" t="s">
        <v>519</v>
      </c>
      <c r="E162" s="259" t="s">
        <v>250</v>
      </c>
      <c r="F162" s="260"/>
      <c r="G162" s="259" t="s">
        <v>520</v>
      </c>
      <c r="H162" s="261"/>
      <c r="I162" s="260"/>
      <c r="J162" s="259" t="s">
        <v>521</v>
      </c>
      <c r="K162" s="260"/>
    </row>
    <row r="163" spans="2:11" ht="12.75">
      <c r="B163" s="259" t="s">
        <v>574</v>
      </c>
      <c r="C163" s="260"/>
      <c r="D163" s="47" t="s">
        <v>575</v>
      </c>
      <c r="E163" s="259" t="s">
        <v>250</v>
      </c>
      <c r="F163" s="260"/>
      <c r="G163" s="259" t="s">
        <v>576</v>
      </c>
      <c r="H163" s="261"/>
      <c r="I163" s="260"/>
      <c r="J163" s="259" t="s">
        <v>577</v>
      </c>
      <c r="K163" s="260"/>
    </row>
    <row r="164" spans="2:11" ht="12.75">
      <c r="B164" s="259" t="s">
        <v>234</v>
      </c>
      <c r="C164" s="260"/>
      <c r="D164" s="47" t="s">
        <v>578</v>
      </c>
      <c r="E164" s="259" t="s">
        <v>250</v>
      </c>
      <c r="F164" s="260"/>
      <c r="G164" s="259" t="s">
        <v>579</v>
      </c>
      <c r="H164" s="261"/>
      <c r="I164" s="260"/>
      <c r="J164" s="259" t="s">
        <v>580</v>
      </c>
      <c r="K164" s="260"/>
    </row>
    <row r="165" spans="2:11" ht="12.75">
      <c r="B165" s="259" t="s">
        <v>574</v>
      </c>
      <c r="C165" s="260"/>
      <c r="D165" s="47" t="s">
        <v>576</v>
      </c>
      <c r="E165" s="259" t="s">
        <v>250</v>
      </c>
      <c r="F165" s="260"/>
      <c r="G165" s="259" t="s">
        <v>519</v>
      </c>
      <c r="H165" s="261"/>
      <c r="I165" s="260"/>
      <c r="J165" s="259" t="s">
        <v>603</v>
      </c>
      <c r="K165" s="260"/>
    </row>
    <row r="166" spans="2:11" ht="12.75">
      <c r="B166" s="259" t="s">
        <v>234</v>
      </c>
      <c r="C166" s="260"/>
      <c r="D166" s="47" t="s">
        <v>519</v>
      </c>
      <c r="E166" s="259" t="s">
        <v>250</v>
      </c>
      <c r="F166" s="260"/>
      <c r="G166" s="259" t="s">
        <v>575</v>
      </c>
      <c r="H166" s="261"/>
      <c r="I166" s="260"/>
      <c r="J166" s="259" t="s">
        <v>605</v>
      </c>
      <c r="K166" s="260"/>
    </row>
    <row r="167" spans="2:11" ht="12.75">
      <c r="B167" s="259" t="s">
        <v>574</v>
      </c>
      <c r="C167" s="260"/>
      <c r="D167" s="47" t="s">
        <v>579</v>
      </c>
      <c r="E167" s="259" t="s">
        <v>250</v>
      </c>
      <c r="F167" s="260"/>
      <c r="G167" s="259" t="s">
        <v>578</v>
      </c>
      <c r="H167" s="261"/>
      <c r="I167" s="260"/>
      <c r="J167" s="259" t="s">
        <v>651</v>
      </c>
      <c r="K167" s="260"/>
    </row>
    <row r="168" spans="2:11" ht="12.75">
      <c r="B168" s="259" t="s">
        <v>671</v>
      </c>
      <c r="C168" s="260"/>
      <c r="D168" s="47" t="s">
        <v>672</v>
      </c>
      <c r="E168" s="259" t="s">
        <v>250</v>
      </c>
      <c r="F168" s="260"/>
      <c r="G168" s="259" t="s">
        <v>673</v>
      </c>
      <c r="H168" s="261"/>
      <c r="I168" s="260"/>
      <c r="J168" s="259" t="s">
        <v>674</v>
      </c>
      <c r="K168" s="260"/>
    </row>
    <row r="169" spans="2:11" ht="12.75">
      <c r="B169" s="259" t="s">
        <v>703</v>
      </c>
      <c r="C169" s="260"/>
      <c r="D169" s="47" t="s">
        <v>673</v>
      </c>
      <c r="E169" s="259" t="s">
        <v>250</v>
      </c>
      <c r="F169" s="260"/>
      <c r="G169" s="259" t="s">
        <v>672</v>
      </c>
      <c r="H169" s="261"/>
      <c r="I169" s="260"/>
      <c r="J169" s="259" t="s">
        <v>704</v>
      </c>
      <c r="K169" s="260"/>
    </row>
    <row r="170" spans="2:11" ht="12.75">
      <c r="B170" s="259" t="s">
        <v>234</v>
      </c>
      <c r="C170" s="260"/>
      <c r="D170" s="47" t="s">
        <v>481</v>
      </c>
      <c r="E170" s="259" t="s">
        <v>250</v>
      </c>
      <c r="F170" s="260"/>
      <c r="G170" s="259" t="s">
        <v>718</v>
      </c>
      <c r="H170" s="261"/>
      <c r="I170" s="260"/>
      <c r="J170" s="259" t="s">
        <v>719</v>
      </c>
      <c r="K170" s="260"/>
    </row>
    <row r="171" spans="2:11" ht="12.75">
      <c r="B171" s="259" t="s">
        <v>574</v>
      </c>
      <c r="C171" s="260"/>
      <c r="D171" s="47" t="s">
        <v>718</v>
      </c>
      <c r="E171" s="259" t="s">
        <v>250</v>
      </c>
      <c r="F171" s="260"/>
      <c r="G171" s="259" t="s">
        <v>481</v>
      </c>
      <c r="H171" s="261"/>
      <c r="I171" s="260"/>
      <c r="J171" s="259" t="s">
        <v>751</v>
      </c>
      <c r="K171" s="260"/>
    </row>
    <row r="172" spans="2:11" ht="12.75">
      <c r="B172" s="259" t="s">
        <v>234</v>
      </c>
      <c r="C172" s="260"/>
      <c r="D172" s="47" t="s">
        <v>293</v>
      </c>
      <c r="E172" s="259" t="s">
        <v>250</v>
      </c>
      <c r="F172" s="260"/>
      <c r="G172" s="259" t="s">
        <v>579</v>
      </c>
      <c r="H172" s="261"/>
      <c r="I172" s="260"/>
      <c r="J172" s="259" t="s">
        <v>771</v>
      </c>
      <c r="K172" s="260"/>
    </row>
    <row r="173" spans="2:11" ht="12.75">
      <c r="B173" s="259" t="s">
        <v>671</v>
      </c>
      <c r="C173" s="260"/>
      <c r="D173" s="47" t="s">
        <v>672</v>
      </c>
      <c r="E173" s="259" t="s">
        <v>250</v>
      </c>
      <c r="F173" s="260"/>
      <c r="G173" s="259" t="s">
        <v>673</v>
      </c>
      <c r="H173" s="261"/>
      <c r="I173" s="260"/>
      <c r="J173" s="259" t="s">
        <v>809</v>
      </c>
      <c r="K173" s="260"/>
    </row>
    <row r="174" spans="2:11" ht="12.75">
      <c r="B174" s="259" t="s">
        <v>244</v>
      </c>
      <c r="C174" s="260"/>
      <c r="D174" s="47" t="s">
        <v>830</v>
      </c>
      <c r="E174" s="259" t="s">
        <v>241</v>
      </c>
      <c r="F174" s="260"/>
      <c r="G174" s="259" t="s">
        <v>831</v>
      </c>
      <c r="H174" s="261"/>
      <c r="I174" s="260"/>
      <c r="J174" s="259" t="s">
        <v>832</v>
      </c>
      <c r="K174" s="260"/>
    </row>
    <row r="175" spans="2:11" ht="12.75">
      <c r="B175" s="259" t="s">
        <v>703</v>
      </c>
      <c r="C175" s="260"/>
      <c r="D175" s="47" t="s">
        <v>673</v>
      </c>
      <c r="E175" s="259" t="s">
        <v>250</v>
      </c>
      <c r="F175" s="260"/>
      <c r="G175" s="259" t="s">
        <v>672</v>
      </c>
      <c r="H175" s="261"/>
      <c r="I175" s="260"/>
      <c r="J175" s="259" t="s">
        <v>827</v>
      </c>
      <c r="K175" s="260"/>
    </row>
    <row r="176" spans="2:11" ht="12.75">
      <c r="B176" s="259" t="s">
        <v>874</v>
      </c>
      <c r="C176" s="260"/>
      <c r="D176" s="47" t="s">
        <v>875</v>
      </c>
      <c r="E176" s="259" t="s">
        <v>250</v>
      </c>
      <c r="F176" s="260"/>
      <c r="G176" s="259" t="s">
        <v>876</v>
      </c>
      <c r="H176" s="261"/>
      <c r="I176" s="260"/>
      <c r="J176" s="259" t="s">
        <v>873</v>
      </c>
      <c r="K176" s="260"/>
    </row>
    <row r="177" spans="2:11" ht="12.75">
      <c r="B177" s="259" t="s">
        <v>897</v>
      </c>
      <c r="C177" s="260"/>
      <c r="D177" s="47" t="s">
        <v>898</v>
      </c>
      <c r="E177" s="259" t="s">
        <v>250</v>
      </c>
      <c r="F177" s="260"/>
      <c r="G177" s="259" t="s">
        <v>875</v>
      </c>
      <c r="H177" s="261"/>
      <c r="I177" s="260"/>
      <c r="J177" s="259" t="s">
        <v>899</v>
      </c>
      <c r="K177" s="260"/>
    </row>
    <row r="178" spans="2:11" ht="12.75">
      <c r="B178" s="259" t="s">
        <v>234</v>
      </c>
      <c r="C178" s="260"/>
      <c r="D178" s="47" t="s">
        <v>520</v>
      </c>
      <c r="E178" s="259" t="s">
        <v>250</v>
      </c>
      <c r="F178" s="260"/>
      <c r="G178" s="259" t="s">
        <v>831</v>
      </c>
      <c r="H178" s="261"/>
      <c r="I178" s="260"/>
      <c r="J178" s="259" t="s">
        <v>914</v>
      </c>
      <c r="K178" s="260"/>
    </row>
    <row r="179" spans="2:11" ht="12.75">
      <c r="B179" s="259" t="s">
        <v>288</v>
      </c>
      <c r="C179" s="260"/>
      <c r="D179" s="47" t="s">
        <v>672</v>
      </c>
      <c r="E179" s="259" t="s">
        <v>250</v>
      </c>
      <c r="F179" s="260"/>
      <c r="G179" s="259" t="s">
        <v>673</v>
      </c>
      <c r="H179" s="261"/>
      <c r="I179" s="260"/>
      <c r="J179" s="259" t="s">
        <v>953</v>
      </c>
      <c r="K179" s="260"/>
    </row>
    <row r="180" spans="2:11" ht="12.75">
      <c r="B180" s="259" t="s">
        <v>919</v>
      </c>
      <c r="C180" s="260"/>
      <c r="D180" s="47" t="s">
        <v>875</v>
      </c>
      <c r="E180" s="259" t="s">
        <v>250</v>
      </c>
      <c r="F180" s="260"/>
      <c r="G180" s="259" t="s">
        <v>898</v>
      </c>
      <c r="H180" s="261"/>
      <c r="I180" s="260"/>
      <c r="J180" s="259" t="s">
        <v>920</v>
      </c>
      <c r="K180" s="260"/>
    </row>
    <row r="181" spans="2:11" ht="12.75">
      <c r="B181" s="259" t="s">
        <v>234</v>
      </c>
      <c r="C181" s="260"/>
      <c r="D181" s="47" t="s">
        <v>579</v>
      </c>
      <c r="E181" s="259" t="s">
        <v>250</v>
      </c>
      <c r="F181" s="260"/>
      <c r="G181" s="259" t="s">
        <v>931</v>
      </c>
      <c r="H181" s="261"/>
      <c r="I181" s="260"/>
      <c r="J181" s="259" t="s">
        <v>930</v>
      </c>
      <c r="K181" s="260"/>
    </row>
    <row r="182" spans="2:11" ht="12.75">
      <c r="B182" s="259" t="s">
        <v>234</v>
      </c>
      <c r="C182" s="260"/>
      <c r="D182" s="47" t="s">
        <v>290</v>
      </c>
      <c r="E182" s="259" t="s">
        <v>250</v>
      </c>
      <c r="F182" s="260"/>
      <c r="G182" s="259" t="s">
        <v>576</v>
      </c>
      <c r="H182" s="261"/>
      <c r="I182" s="260"/>
      <c r="J182" s="259" t="s">
        <v>938</v>
      </c>
      <c r="K182" s="260"/>
    </row>
    <row r="183" spans="2:11" ht="12.75">
      <c r="B183" s="259" t="s">
        <v>574</v>
      </c>
      <c r="C183" s="260"/>
      <c r="D183" s="47" t="s">
        <v>960</v>
      </c>
      <c r="E183" s="259" t="s">
        <v>250</v>
      </c>
      <c r="F183" s="260"/>
      <c r="G183" s="259" t="s">
        <v>290</v>
      </c>
      <c r="H183" s="261"/>
      <c r="I183" s="260"/>
      <c r="J183" s="259" t="s">
        <v>961</v>
      </c>
      <c r="K183" s="260"/>
    </row>
    <row r="184" spans="2:11" ht="12.75">
      <c r="B184" s="259" t="s">
        <v>574</v>
      </c>
      <c r="C184" s="260"/>
      <c r="D184" s="47" t="s">
        <v>831</v>
      </c>
      <c r="E184" s="259" t="s">
        <v>250</v>
      </c>
      <c r="F184" s="260"/>
      <c r="G184" s="259" t="s">
        <v>520</v>
      </c>
      <c r="H184" s="261"/>
      <c r="I184" s="260"/>
      <c r="J184" s="259" t="s">
        <v>976</v>
      </c>
      <c r="K184" s="260"/>
    </row>
    <row r="185" spans="2:11" ht="24.75" customHeight="1">
      <c r="B185" s="259" t="s">
        <v>574</v>
      </c>
      <c r="C185" s="260"/>
      <c r="D185" s="47" t="s">
        <v>931</v>
      </c>
      <c r="E185" s="259" t="s">
        <v>250</v>
      </c>
      <c r="F185" s="260"/>
      <c r="G185" s="259" t="s">
        <v>579</v>
      </c>
      <c r="H185" s="261"/>
      <c r="I185" s="260"/>
      <c r="J185" s="259" t="s">
        <v>988</v>
      </c>
      <c r="K185" s="260"/>
    </row>
    <row r="186" spans="2:11" ht="12.75">
      <c r="B186" s="259" t="s">
        <v>234</v>
      </c>
      <c r="C186" s="260"/>
      <c r="D186" s="47" t="s">
        <v>1009</v>
      </c>
      <c r="E186" s="259" t="s">
        <v>250</v>
      </c>
      <c r="F186" s="260"/>
      <c r="G186" s="259" t="s">
        <v>1010</v>
      </c>
      <c r="H186" s="261"/>
      <c r="I186" s="260"/>
      <c r="J186" s="259" t="s">
        <v>1011</v>
      </c>
      <c r="K186" s="260"/>
    </row>
    <row r="187" spans="2:11" ht="12.75">
      <c r="B187" s="259" t="s">
        <v>244</v>
      </c>
      <c r="C187" s="260"/>
      <c r="D187" s="47" t="s">
        <v>1012</v>
      </c>
      <c r="E187" s="259" t="s">
        <v>241</v>
      </c>
      <c r="F187" s="260"/>
      <c r="G187" s="259" t="s">
        <v>1013</v>
      </c>
      <c r="H187" s="261"/>
      <c r="I187" s="260"/>
      <c r="J187" s="259" t="s">
        <v>1014</v>
      </c>
      <c r="K187" s="260"/>
    </row>
    <row r="188" spans="2:11" ht="15" customHeight="1">
      <c r="B188" s="259" t="s">
        <v>574</v>
      </c>
      <c r="C188" s="260"/>
      <c r="D188" s="47" t="s">
        <v>718</v>
      </c>
      <c r="E188" s="259" t="s">
        <v>250</v>
      </c>
      <c r="F188" s="260"/>
      <c r="G188" s="259" t="s">
        <v>1032</v>
      </c>
      <c r="H188" s="261"/>
      <c r="I188" s="260"/>
      <c r="J188" s="259" t="s">
        <v>1033</v>
      </c>
      <c r="K188" s="260"/>
    </row>
    <row r="189" spans="2:11" ht="12.75">
      <c r="B189" s="259" t="s">
        <v>244</v>
      </c>
      <c r="C189" s="260"/>
      <c r="D189" s="47" t="s">
        <v>1041</v>
      </c>
      <c r="E189" s="259" t="s">
        <v>241</v>
      </c>
      <c r="F189" s="260"/>
      <c r="G189" s="259" t="s">
        <v>1042</v>
      </c>
      <c r="H189" s="261"/>
      <c r="I189" s="260"/>
      <c r="J189" s="259" t="s">
        <v>1043</v>
      </c>
      <c r="K189" s="260"/>
    </row>
    <row r="190" spans="2:11" ht="12.75">
      <c r="B190" s="259" t="s">
        <v>288</v>
      </c>
      <c r="C190" s="260"/>
      <c r="D190" s="47" t="s">
        <v>673</v>
      </c>
      <c r="E190" s="259" t="s">
        <v>250</v>
      </c>
      <c r="F190" s="260"/>
      <c r="G190" s="259" t="s">
        <v>1042</v>
      </c>
      <c r="H190" s="261"/>
      <c r="I190" s="260"/>
      <c r="J190" s="259" t="s">
        <v>1050</v>
      </c>
      <c r="K190" s="260"/>
    </row>
    <row r="191" spans="2:11" ht="15" customHeight="1">
      <c r="B191" s="259" t="s">
        <v>574</v>
      </c>
      <c r="C191" s="260"/>
      <c r="D191" s="47" t="s">
        <v>579</v>
      </c>
      <c r="E191" s="259" t="s">
        <v>250</v>
      </c>
      <c r="F191" s="260"/>
      <c r="G191" s="259" t="s">
        <v>293</v>
      </c>
      <c r="H191" s="261"/>
      <c r="I191" s="260"/>
      <c r="J191" s="259" t="s">
        <v>1093</v>
      </c>
      <c r="K191" s="260"/>
    </row>
    <row r="192" spans="2:11" ht="12.75">
      <c r="B192" s="259" t="s">
        <v>1123</v>
      </c>
      <c r="C192" s="260"/>
      <c r="D192" s="47" t="s">
        <v>1124</v>
      </c>
      <c r="E192" s="259" t="s">
        <v>250</v>
      </c>
      <c r="F192" s="260"/>
      <c r="G192" s="259" t="s">
        <v>352</v>
      </c>
      <c r="H192" s="261"/>
      <c r="I192" s="260"/>
      <c r="J192" s="259" t="s">
        <v>1125</v>
      </c>
      <c r="K192" s="260"/>
    </row>
    <row r="193" spans="2:11" ht="12.75">
      <c r="B193" s="259" t="s">
        <v>234</v>
      </c>
      <c r="C193" s="260"/>
      <c r="D193" s="47" t="s">
        <v>520</v>
      </c>
      <c r="E193" s="259" t="s">
        <v>250</v>
      </c>
      <c r="F193" s="260"/>
      <c r="G193" s="259" t="s">
        <v>1142</v>
      </c>
      <c r="H193" s="261"/>
      <c r="I193" s="260"/>
      <c r="J193" s="259" t="s">
        <v>1143</v>
      </c>
      <c r="K193" s="260"/>
    </row>
    <row r="194" spans="2:11" ht="12.75" customHeight="1">
      <c r="B194" s="259" t="s">
        <v>234</v>
      </c>
      <c r="C194" s="260"/>
      <c r="D194" s="151" t="s">
        <v>576</v>
      </c>
      <c r="E194" s="259" t="s">
        <v>250</v>
      </c>
      <c r="F194" s="260"/>
      <c r="G194" s="262" t="s">
        <v>875</v>
      </c>
      <c r="H194" s="261"/>
      <c r="I194" s="260"/>
      <c r="J194" s="259" t="s">
        <v>1161</v>
      </c>
      <c r="K194" s="260"/>
    </row>
    <row r="195" spans="2:11" ht="12.75">
      <c r="B195" s="259" t="s">
        <v>234</v>
      </c>
      <c r="C195" s="260"/>
      <c r="D195" s="151" t="s">
        <v>1162</v>
      </c>
      <c r="E195" s="259" t="s">
        <v>250</v>
      </c>
      <c r="F195" s="260"/>
      <c r="G195" s="262" t="s">
        <v>718</v>
      </c>
      <c r="H195" s="261"/>
      <c r="I195" s="260"/>
      <c r="J195" s="259" t="s">
        <v>1163</v>
      </c>
      <c r="K195" s="260"/>
    </row>
    <row r="196" spans="2:11" ht="12.75">
      <c r="B196" s="259"/>
      <c r="C196" s="260"/>
      <c r="D196" s="47"/>
      <c r="E196" s="259"/>
      <c r="F196" s="260"/>
      <c r="G196" s="259"/>
      <c r="H196" s="261"/>
      <c r="I196" s="260"/>
      <c r="J196" s="259"/>
      <c r="K196" s="260"/>
    </row>
    <row r="197" spans="2:11" ht="12.75">
      <c r="B197" s="259"/>
      <c r="C197" s="260"/>
      <c r="D197" s="47"/>
      <c r="E197" s="259"/>
      <c r="F197" s="260"/>
      <c r="G197" s="259"/>
      <c r="H197" s="261"/>
      <c r="I197" s="260"/>
      <c r="J197" s="259"/>
      <c r="K197" s="260"/>
    </row>
    <row r="198" spans="2:11" ht="12.75">
      <c r="B198" s="259"/>
      <c r="C198" s="260"/>
      <c r="D198" s="47"/>
      <c r="E198" s="259"/>
      <c r="F198" s="260"/>
      <c r="G198" s="259"/>
      <c r="H198" s="261"/>
      <c r="I198" s="260"/>
      <c r="J198" s="259"/>
      <c r="K198" s="260"/>
    </row>
    <row r="199" spans="2:11" ht="12.75">
      <c r="B199" s="259"/>
      <c r="C199" s="260"/>
      <c r="D199" s="47"/>
      <c r="E199" s="259"/>
      <c r="F199" s="260"/>
      <c r="G199" s="259"/>
      <c r="H199" s="261"/>
      <c r="I199" s="260"/>
      <c r="J199" s="259"/>
      <c r="K199" s="260"/>
    </row>
    <row r="200" spans="2:11" ht="12.75">
      <c r="B200" s="259"/>
      <c r="C200" s="260"/>
      <c r="D200" s="47"/>
      <c r="E200" s="259"/>
      <c r="F200" s="260"/>
      <c r="G200" s="259"/>
      <c r="H200" s="261"/>
      <c r="I200" s="260"/>
      <c r="J200" s="259"/>
      <c r="K200" s="260"/>
    </row>
    <row r="201" spans="2:11" ht="12.75">
      <c r="B201" s="259"/>
      <c r="C201" s="260"/>
      <c r="D201" s="47"/>
      <c r="E201" s="259"/>
      <c r="F201" s="260"/>
      <c r="G201" s="259"/>
      <c r="H201" s="261"/>
      <c r="I201" s="260"/>
      <c r="J201" s="259"/>
      <c r="K201" s="260"/>
    </row>
    <row r="202" spans="2:11" ht="12.75">
      <c r="B202" s="259"/>
      <c r="C202" s="260"/>
      <c r="D202" s="47"/>
      <c r="E202" s="259"/>
      <c r="F202" s="260"/>
      <c r="G202" s="259"/>
      <c r="H202" s="261"/>
      <c r="I202" s="260"/>
      <c r="J202" s="259"/>
      <c r="K202" s="260"/>
    </row>
    <row r="203" spans="2:11" ht="12.75">
      <c r="B203" s="259"/>
      <c r="C203" s="260"/>
      <c r="D203" s="47"/>
      <c r="E203" s="259"/>
      <c r="F203" s="260"/>
      <c r="G203" s="259"/>
      <c r="H203" s="261"/>
      <c r="I203" s="260"/>
      <c r="J203" s="259"/>
      <c r="K203" s="260"/>
    </row>
    <row r="204" spans="2:11" ht="12.75">
      <c r="B204" s="259"/>
      <c r="C204" s="260"/>
      <c r="D204" s="47"/>
      <c r="E204" s="259"/>
      <c r="F204" s="260"/>
      <c r="G204" s="262"/>
      <c r="H204" s="261"/>
      <c r="I204" s="260"/>
      <c r="J204" s="259"/>
      <c r="K204" s="260"/>
    </row>
    <row r="205" spans="2:11" ht="12.75">
      <c r="B205" s="259"/>
      <c r="C205" s="260"/>
      <c r="D205" s="47"/>
      <c r="E205" s="259"/>
      <c r="F205" s="260"/>
      <c r="G205" s="259"/>
      <c r="H205" s="261"/>
      <c r="I205" s="260"/>
      <c r="J205" s="259"/>
      <c r="K205" s="260"/>
    </row>
    <row r="206" spans="2:11" ht="12.75">
      <c r="B206" s="259"/>
      <c r="C206" s="260"/>
      <c r="D206" s="47"/>
      <c r="E206" s="259"/>
      <c r="F206" s="260"/>
      <c r="G206" s="259"/>
      <c r="H206" s="261"/>
      <c r="I206" s="260"/>
      <c r="J206" s="259"/>
      <c r="K206" s="260"/>
    </row>
    <row r="207" spans="2:11" ht="12.75">
      <c r="B207" s="259"/>
      <c r="C207" s="260"/>
      <c r="D207" s="151"/>
      <c r="E207" s="259"/>
      <c r="F207" s="260"/>
      <c r="G207" s="262"/>
      <c r="H207" s="261"/>
      <c r="I207" s="260"/>
      <c r="J207" s="259"/>
      <c r="K207" s="260"/>
    </row>
    <row r="208" spans="2:11" ht="12.75">
      <c r="B208" s="259"/>
      <c r="C208" s="260"/>
      <c r="D208" s="47"/>
      <c r="E208" s="259"/>
      <c r="F208" s="260"/>
      <c r="G208" s="259"/>
      <c r="H208" s="261"/>
      <c r="I208" s="260"/>
      <c r="J208" s="259"/>
      <c r="K208" s="260"/>
    </row>
    <row r="209" spans="2:11" ht="12.75">
      <c r="B209" s="259"/>
      <c r="C209" s="260"/>
      <c r="D209" s="47"/>
      <c r="E209" s="259"/>
      <c r="F209" s="260"/>
      <c r="G209" s="259"/>
      <c r="H209" s="261"/>
      <c r="I209" s="260"/>
      <c r="J209" s="259"/>
      <c r="K209" s="260"/>
    </row>
    <row r="210" spans="2:11" ht="12.75">
      <c r="B210" s="259"/>
      <c r="C210" s="260"/>
      <c r="D210" s="47"/>
      <c r="E210" s="259"/>
      <c r="F210" s="260"/>
      <c r="G210" s="262"/>
      <c r="H210" s="261"/>
      <c r="I210" s="260"/>
      <c r="J210" s="259"/>
      <c r="K210" s="260"/>
    </row>
    <row r="211" spans="2:11" ht="12.75">
      <c r="B211" s="259"/>
      <c r="C211" s="260"/>
      <c r="D211" s="47"/>
      <c r="E211" s="259"/>
      <c r="F211" s="260"/>
      <c r="G211" s="259"/>
      <c r="H211" s="261"/>
      <c r="I211" s="260"/>
      <c r="J211" s="259"/>
      <c r="K211" s="260"/>
    </row>
    <row r="212" spans="2:11" ht="12.75">
      <c r="B212" s="259"/>
      <c r="C212" s="260"/>
      <c r="D212" s="47"/>
      <c r="E212" s="259"/>
      <c r="F212" s="260"/>
      <c r="G212" s="259"/>
      <c r="H212" s="261"/>
      <c r="I212" s="260"/>
      <c r="J212" s="259"/>
      <c r="K212" s="260"/>
    </row>
    <row r="213" spans="2:11" ht="12.75">
      <c r="B213" s="259"/>
      <c r="C213" s="260"/>
      <c r="D213" s="47"/>
      <c r="E213" s="259"/>
      <c r="F213" s="260"/>
      <c r="G213" s="259"/>
      <c r="H213" s="261"/>
      <c r="I213" s="260"/>
      <c r="J213" s="259"/>
      <c r="K213" s="260"/>
    </row>
    <row r="214" spans="2:11" ht="12.75">
      <c r="B214" s="259"/>
      <c r="C214" s="260"/>
      <c r="D214" s="47"/>
      <c r="E214" s="259"/>
      <c r="F214" s="260"/>
      <c r="G214" s="259"/>
      <c r="H214" s="261"/>
      <c r="I214" s="260"/>
      <c r="J214" s="259"/>
      <c r="K214" s="260"/>
    </row>
    <row r="215" spans="2:11" ht="12.75">
      <c r="B215" s="259"/>
      <c r="C215" s="260"/>
      <c r="D215" s="151"/>
      <c r="E215" s="259"/>
      <c r="F215" s="260"/>
      <c r="G215" s="259"/>
      <c r="H215" s="261"/>
      <c r="I215" s="260"/>
      <c r="J215" s="259"/>
      <c r="K215" s="260"/>
    </row>
    <row r="216" spans="2:11" ht="12.75">
      <c r="B216" s="259"/>
      <c r="C216" s="260"/>
      <c r="D216" s="47"/>
      <c r="E216" s="259"/>
      <c r="F216" s="260"/>
      <c r="G216" s="259"/>
      <c r="H216" s="261"/>
      <c r="I216" s="260"/>
      <c r="J216" s="259"/>
      <c r="K216" s="260"/>
    </row>
  </sheetData>
  <mergeCells count="317">
    <mergeCell ref="J174:K174"/>
    <mergeCell ref="B179:C179"/>
    <mergeCell ref="E179:F179"/>
    <mergeCell ref="G179:I179"/>
    <mergeCell ref="J179:K179"/>
    <mergeCell ref="E178:F178"/>
    <mergeCell ref="G178:I178"/>
    <mergeCell ref="J178:K178"/>
    <mergeCell ref="B177:C177"/>
    <mergeCell ref="E177:F177"/>
    <mergeCell ref="W10:AB10"/>
    <mergeCell ref="Z30:AA30"/>
    <mergeCell ref="Z35:AA35"/>
    <mergeCell ref="Z31:AA31"/>
    <mergeCell ref="Z32:AA32"/>
    <mergeCell ref="Z33:AA33"/>
    <mergeCell ref="Z34:AA34"/>
    <mergeCell ref="X34:Y34"/>
    <mergeCell ref="Z11:AA11"/>
    <mergeCell ref="X35:Y35"/>
    <mergeCell ref="B214:C214"/>
    <mergeCell ref="W55:AC55"/>
    <mergeCell ref="E214:F214"/>
    <mergeCell ref="G214:I214"/>
    <mergeCell ref="J214:K214"/>
    <mergeCell ref="B204:C204"/>
    <mergeCell ref="E204:F204"/>
    <mergeCell ref="G204:I204"/>
    <mergeCell ref="J204:K204"/>
    <mergeCell ref="B205:C205"/>
    <mergeCell ref="B215:C215"/>
    <mergeCell ref="E215:F215"/>
    <mergeCell ref="G215:I215"/>
    <mergeCell ref="J215:K215"/>
    <mergeCell ref="B216:C216"/>
    <mergeCell ref="E216:F216"/>
    <mergeCell ref="G216:I216"/>
    <mergeCell ref="J216:K216"/>
    <mergeCell ref="E205:F205"/>
    <mergeCell ref="G205:I205"/>
    <mergeCell ref="J205:K205"/>
    <mergeCell ref="B203:C203"/>
    <mergeCell ref="E203:F203"/>
    <mergeCell ref="G203:I203"/>
    <mergeCell ref="J203:K203"/>
    <mergeCell ref="B202:C202"/>
    <mergeCell ref="E202:F202"/>
    <mergeCell ref="G202:I202"/>
    <mergeCell ref="J202:K202"/>
    <mergeCell ref="B201:C201"/>
    <mergeCell ref="E201:F201"/>
    <mergeCell ref="G201:I201"/>
    <mergeCell ref="J201:K201"/>
    <mergeCell ref="J199:K199"/>
    <mergeCell ref="B200:C200"/>
    <mergeCell ref="E200:F200"/>
    <mergeCell ref="G200:I200"/>
    <mergeCell ref="J200:K200"/>
    <mergeCell ref="B118:D118"/>
    <mergeCell ref="B199:C199"/>
    <mergeCell ref="E199:F199"/>
    <mergeCell ref="G199:I199"/>
    <mergeCell ref="B174:C174"/>
    <mergeCell ref="E174:F174"/>
    <mergeCell ref="G174:I174"/>
    <mergeCell ref="B198:C198"/>
    <mergeCell ref="B196:C196"/>
    <mergeCell ref="B195:C195"/>
    <mergeCell ref="B94:D94"/>
    <mergeCell ref="B96:I96"/>
    <mergeCell ref="B108:D108"/>
    <mergeCell ref="B110:I110"/>
    <mergeCell ref="B191:C191"/>
    <mergeCell ref="B194:C194"/>
    <mergeCell ref="B192:C192"/>
    <mergeCell ref="B197:C197"/>
    <mergeCell ref="B184:C184"/>
    <mergeCell ref="E184:F184"/>
    <mergeCell ref="G184:I184"/>
    <mergeCell ref="B182:C182"/>
    <mergeCell ref="E182:F182"/>
    <mergeCell ref="G182:I182"/>
    <mergeCell ref="B190:C190"/>
    <mergeCell ref="E190:F190"/>
    <mergeCell ref="G190:I190"/>
    <mergeCell ref="B187:C187"/>
    <mergeCell ref="J193:K193"/>
    <mergeCell ref="E191:F191"/>
    <mergeCell ref="G191:I191"/>
    <mergeCell ref="J191:K191"/>
    <mergeCell ref="G193:I193"/>
    <mergeCell ref="E192:F192"/>
    <mergeCell ref="G192:I192"/>
    <mergeCell ref="J192:K192"/>
    <mergeCell ref="G194:I194"/>
    <mergeCell ref="N43:S43"/>
    <mergeCell ref="E189:F189"/>
    <mergeCell ref="G189:I189"/>
    <mergeCell ref="E193:F193"/>
    <mergeCell ref="E187:F187"/>
    <mergeCell ref="G187:I187"/>
    <mergeCell ref="J187:K187"/>
    <mergeCell ref="E185:F185"/>
    <mergeCell ref="J190:K190"/>
    <mergeCell ref="E198:F198"/>
    <mergeCell ref="G198:I198"/>
    <mergeCell ref="J198:K198"/>
    <mergeCell ref="E196:F196"/>
    <mergeCell ref="G196:I196"/>
    <mergeCell ref="J196:K196"/>
    <mergeCell ref="E197:F197"/>
    <mergeCell ref="G197:I197"/>
    <mergeCell ref="J197:K197"/>
    <mergeCell ref="J195:K195"/>
    <mergeCell ref="J189:K189"/>
    <mergeCell ref="B188:C188"/>
    <mergeCell ref="E188:F188"/>
    <mergeCell ref="G188:I188"/>
    <mergeCell ref="J188:K188"/>
    <mergeCell ref="B189:C189"/>
    <mergeCell ref="J194:K194"/>
    <mergeCell ref="B193:C193"/>
    <mergeCell ref="E194:F194"/>
    <mergeCell ref="J185:K185"/>
    <mergeCell ref="B185:C185"/>
    <mergeCell ref="B186:C186"/>
    <mergeCell ref="E186:F186"/>
    <mergeCell ref="G186:I186"/>
    <mergeCell ref="J186:K186"/>
    <mergeCell ref="G185:I185"/>
    <mergeCell ref="J184:K184"/>
    <mergeCell ref="E183:F183"/>
    <mergeCell ref="G183:I183"/>
    <mergeCell ref="J183:K183"/>
    <mergeCell ref="J182:K182"/>
    <mergeCell ref="B183:C183"/>
    <mergeCell ref="J181:K181"/>
    <mergeCell ref="B180:C180"/>
    <mergeCell ref="E180:F180"/>
    <mergeCell ref="G180:I180"/>
    <mergeCell ref="J180:K180"/>
    <mergeCell ref="B181:C181"/>
    <mergeCell ref="E181:F181"/>
    <mergeCell ref="G181:I181"/>
    <mergeCell ref="G177:I177"/>
    <mergeCell ref="J177:K177"/>
    <mergeCell ref="B178:C178"/>
    <mergeCell ref="E176:F176"/>
    <mergeCell ref="G176:I176"/>
    <mergeCell ref="J176:K176"/>
    <mergeCell ref="B176:C176"/>
    <mergeCell ref="B175:C175"/>
    <mergeCell ref="E175:F175"/>
    <mergeCell ref="G175:I175"/>
    <mergeCell ref="J175:K175"/>
    <mergeCell ref="E173:F173"/>
    <mergeCell ref="G173:I173"/>
    <mergeCell ref="J173:K173"/>
    <mergeCell ref="B172:C172"/>
    <mergeCell ref="E172:F172"/>
    <mergeCell ref="G172:I172"/>
    <mergeCell ref="J172:K172"/>
    <mergeCell ref="B173:C173"/>
    <mergeCell ref="B171:C171"/>
    <mergeCell ref="E171:F171"/>
    <mergeCell ref="G171:I171"/>
    <mergeCell ref="J171:K171"/>
    <mergeCell ref="B170:C170"/>
    <mergeCell ref="E170:F170"/>
    <mergeCell ref="G170:I170"/>
    <mergeCell ref="J170:K170"/>
    <mergeCell ref="B169:C169"/>
    <mergeCell ref="E169:F169"/>
    <mergeCell ref="G169:I169"/>
    <mergeCell ref="J169:K169"/>
    <mergeCell ref="B168:C168"/>
    <mergeCell ref="E168:F168"/>
    <mergeCell ref="G168:I168"/>
    <mergeCell ref="J168:K168"/>
    <mergeCell ref="B167:C167"/>
    <mergeCell ref="E167:F167"/>
    <mergeCell ref="G167:I167"/>
    <mergeCell ref="J167:K167"/>
    <mergeCell ref="B166:C166"/>
    <mergeCell ref="E166:F166"/>
    <mergeCell ref="G166:I166"/>
    <mergeCell ref="J166:K166"/>
    <mergeCell ref="B165:C165"/>
    <mergeCell ref="E165:F165"/>
    <mergeCell ref="G165:I165"/>
    <mergeCell ref="J165:K165"/>
    <mergeCell ref="B164:C164"/>
    <mergeCell ref="E164:F164"/>
    <mergeCell ref="G164:I164"/>
    <mergeCell ref="J164:K164"/>
    <mergeCell ref="B163:C163"/>
    <mergeCell ref="E163:F163"/>
    <mergeCell ref="G163:I163"/>
    <mergeCell ref="J163:K163"/>
    <mergeCell ref="B162:C162"/>
    <mergeCell ref="E162:F162"/>
    <mergeCell ref="G162:I162"/>
    <mergeCell ref="J162:K162"/>
    <mergeCell ref="B161:C161"/>
    <mergeCell ref="E161:F161"/>
    <mergeCell ref="G161:I161"/>
    <mergeCell ref="J161:K161"/>
    <mergeCell ref="B160:C160"/>
    <mergeCell ref="E160:F160"/>
    <mergeCell ref="G160:I160"/>
    <mergeCell ref="J160:K160"/>
    <mergeCell ref="B159:C159"/>
    <mergeCell ref="E159:F159"/>
    <mergeCell ref="G159:I159"/>
    <mergeCell ref="J159:K159"/>
    <mergeCell ref="B158:C158"/>
    <mergeCell ref="E158:F158"/>
    <mergeCell ref="G158:I158"/>
    <mergeCell ref="J158:K158"/>
    <mergeCell ref="B157:C157"/>
    <mergeCell ref="E157:F157"/>
    <mergeCell ref="G157:I157"/>
    <mergeCell ref="J157:K157"/>
    <mergeCell ref="B156:C156"/>
    <mergeCell ref="E156:F156"/>
    <mergeCell ref="G156:I156"/>
    <mergeCell ref="J156:K156"/>
    <mergeCell ref="B155:C155"/>
    <mergeCell ref="E155:F155"/>
    <mergeCell ref="G155:I155"/>
    <mergeCell ref="J155:K155"/>
    <mergeCell ref="J153:K153"/>
    <mergeCell ref="B154:C154"/>
    <mergeCell ref="E154:F154"/>
    <mergeCell ref="G154:I154"/>
    <mergeCell ref="J154:K154"/>
    <mergeCell ref="B153:C153"/>
    <mergeCell ref="E153:F153"/>
    <mergeCell ref="G153:I153"/>
    <mergeCell ref="N10:R10"/>
    <mergeCell ref="B6:K6"/>
    <mergeCell ref="B41:I41"/>
    <mergeCell ref="N20:R20"/>
    <mergeCell ref="N30:R30"/>
    <mergeCell ref="C9:D9"/>
    <mergeCell ref="B22:I22"/>
    <mergeCell ref="B14:K14"/>
    <mergeCell ref="C10:D10"/>
    <mergeCell ref="C12:D12"/>
    <mergeCell ref="B152:K152"/>
    <mergeCell ref="B148:D148"/>
    <mergeCell ref="B136:D136"/>
    <mergeCell ref="B137:I137"/>
    <mergeCell ref="B20:D20"/>
    <mergeCell ref="B51:D51"/>
    <mergeCell ref="B39:D39"/>
    <mergeCell ref="B146:D146"/>
    <mergeCell ref="B129:D129"/>
    <mergeCell ref="B131:K131"/>
    <mergeCell ref="C83:D83"/>
    <mergeCell ref="C86:D86"/>
    <mergeCell ref="B120:I120"/>
    <mergeCell ref="B88:K88"/>
    <mergeCell ref="B77:D77"/>
    <mergeCell ref="B80:K80"/>
    <mergeCell ref="B53:I53"/>
    <mergeCell ref="B63:D63"/>
    <mergeCell ref="B206:C206"/>
    <mergeCell ref="E206:F206"/>
    <mergeCell ref="G206:I206"/>
    <mergeCell ref="J206:K206"/>
    <mergeCell ref="B207:C207"/>
    <mergeCell ref="E207:F207"/>
    <mergeCell ref="G207:I207"/>
    <mergeCell ref="J207:K207"/>
    <mergeCell ref="B208:C208"/>
    <mergeCell ref="E208:F208"/>
    <mergeCell ref="G208:I208"/>
    <mergeCell ref="J208:K208"/>
    <mergeCell ref="B209:C209"/>
    <mergeCell ref="E209:F209"/>
    <mergeCell ref="G209:I209"/>
    <mergeCell ref="J209:K209"/>
    <mergeCell ref="B213:C213"/>
    <mergeCell ref="E213:F213"/>
    <mergeCell ref="G213:I213"/>
    <mergeCell ref="J213:K213"/>
    <mergeCell ref="E211:F211"/>
    <mergeCell ref="G211:I211"/>
    <mergeCell ref="J211:K211"/>
    <mergeCell ref="B210:C210"/>
    <mergeCell ref="E210:F210"/>
    <mergeCell ref="G210:I210"/>
    <mergeCell ref="J210:K210"/>
    <mergeCell ref="B211:C211"/>
    <mergeCell ref="B212:C212"/>
    <mergeCell ref="E212:F212"/>
    <mergeCell ref="G212:I212"/>
    <mergeCell ref="J212:K212"/>
    <mergeCell ref="W57:Y57"/>
    <mergeCell ref="X11:Y11"/>
    <mergeCell ref="X30:Y30"/>
    <mergeCell ref="X31:Y31"/>
    <mergeCell ref="X32:Y32"/>
    <mergeCell ref="W40:AB40"/>
    <mergeCell ref="X33:Y33"/>
    <mergeCell ref="AA57:AC57"/>
    <mergeCell ref="E195:F195"/>
    <mergeCell ref="G195:I195"/>
    <mergeCell ref="C11:D11"/>
    <mergeCell ref="C84:D84"/>
    <mergeCell ref="C85:D85"/>
    <mergeCell ref="C82:D82"/>
    <mergeCell ref="B65:K65"/>
    <mergeCell ref="B69:D69"/>
    <mergeCell ref="B70:I70"/>
    <mergeCell ref="B75:D75"/>
  </mergeCells>
  <printOptions/>
  <pageMargins left="0.11" right="0.5" top="0.31" bottom="0.66" header="0.25" footer="0.4921259845"/>
  <pageSetup horizontalDpi="300" verticalDpi="300" orientation="landscape" r:id="rId2"/>
  <ignoredErrors>
    <ignoredError sqref="Q12 I63 Q14:Q18 I39 I51 I108" evalErro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32"/>
  <sheetViews>
    <sheetView workbookViewId="0" topLeftCell="A1">
      <selection activeCell="G43" sqref="G43"/>
    </sheetView>
  </sheetViews>
  <sheetFormatPr defaultColWidth="11.421875" defaultRowHeight="12.75"/>
  <cols>
    <col min="1" max="1" width="3.7109375" style="1" customWidth="1"/>
    <col min="2" max="2" width="4.421875" style="1" customWidth="1"/>
    <col min="3" max="3" width="7.140625" style="1" customWidth="1"/>
    <col min="4" max="4" width="17.7109375" style="1" customWidth="1"/>
    <col min="5" max="7" width="5.57421875" style="1" customWidth="1"/>
    <col min="8" max="8" width="5.7109375" style="1" customWidth="1"/>
    <col min="9" max="9" width="7.00390625" style="1" customWidth="1"/>
    <col min="10" max="10" width="5.421875" style="1" customWidth="1"/>
    <col min="11" max="11" width="7.7109375" style="1" customWidth="1"/>
    <col min="12" max="12" width="2.57421875" style="1" customWidth="1"/>
    <col min="13" max="13" width="2.421875" style="1" customWidth="1"/>
    <col min="14" max="14" width="15.00390625" style="1" customWidth="1"/>
    <col min="15" max="16" width="8.00390625" style="1" customWidth="1"/>
    <col min="17" max="17" width="7.7109375" style="1" customWidth="1"/>
    <col min="18" max="18" width="12.57421875" style="1" customWidth="1"/>
    <col min="19" max="19" width="11.421875" style="1" customWidth="1"/>
    <col min="20" max="20" width="2.28125" style="1" customWidth="1"/>
    <col min="21" max="21" width="1.7109375" style="1" customWidth="1"/>
    <col min="22" max="22" width="2.140625" style="1" customWidth="1"/>
    <col min="23" max="23" width="14.00390625" style="1" customWidth="1"/>
    <col min="24" max="24" width="6.140625" style="1" customWidth="1"/>
    <col min="25" max="27" width="7.28125" style="1" customWidth="1"/>
    <col min="28" max="28" width="13.57421875" style="1" customWidth="1"/>
    <col min="29" max="16384" width="11.421875" style="1" customWidth="1"/>
  </cols>
  <sheetData>
    <row r="1" spans="13:21" ht="12.75">
      <c r="M1" s="2"/>
      <c r="U1" s="161"/>
    </row>
    <row r="2" spans="13:21" ht="12.75">
      <c r="M2" s="2"/>
      <c r="U2" s="161"/>
    </row>
    <row r="3" spans="13:21" ht="12.75">
      <c r="M3" s="2"/>
      <c r="U3" s="161"/>
    </row>
    <row r="4" spans="13:21" ht="12.75">
      <c r="M4" s="2"/>
      <c r="U4" s="161"/>
    </row>
    <row r="5" spans="13:21" ht="12.75">
      <c r="M5" s="2"/>
      <c r="U5" s="161"/>
    </row>
    <row r="6" spans="2:21" ht="13.5">
      <c r="B6" s="270" t="s">
        <v>0</v>
      </c>
      <c r="C6" s="270"/>
      <c r="D6" s="270"/>
      <c r="E6" s="270"/>
      <c r="F6" s="270"/>
      <c r="G6" s="270"/>
      <c r="H6" s="270"/>
      <c r="I6" s="270"/>
      <c r="J6" s="270"/>
      <c r="K6" s="270"/>
      <c r="L6" s="3"/>
      <c r="M6" s="4"/>
      <c r="U6" s="161"/>
    </row>
    <row r="7" spans="2:21" ht="12.7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U7" s="161"/>
    </row>
    <row r="8" spans="2:21" ht="13.5" thickBo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/>
      <c r="U8" s="161"/>
    </row>
    <row r="9" spans="2:21" ht="15" customHeight="1" thickBot="1">
      <c r="B9" s="7"/>
      <c r="C9" s="271" t="s">
        <v>66</v>
      </c>
      <c r="D9" s="271"/>
      <c r="E9" s="9" t="s">
        <v>2</v>
      </c>
      <c r="F9" s="9" t="s">
        <v>3</v>
      </c>
      <c r="G9" s="9" t="s">
        <v>4</v>
      </c>
      <c r="H9" s="9" t="s">
        <v>5</v>
      </c>
      <c r="I9" s="10" t="s">
        <v>6</v>
      </c>
      <c r="J9" s="7"/>
      <c r="K9" s="7"/>
      <c r="L9" s="7"/>
      <c r="M9" s="8"/>
      <c r="U9" s="161"/>
    </row>
    <row r="10" spans="2:28" ht="15" customHeight="1" thickBot="1" thickTop="1">
      <c r="B10" s="7"/>
      <c r="C10" s="311" t="str">
        <f>'[1]Equipes-Pool'!$B$7</f>
        <v>Canadiens de Montréal</v>
      </c>
      <c r="D10" s="312"/>
      <c r="E10" s="114">
        <f>'[1]Equipes-Pool'!$C$7</f>
        <v>68</v>
      </c>
      <c r="F10" s="114">
        <f>'[1]Equipes-Pool'!$D$7</f>
        <v>80</v>
      </c>
      <c r="G10" s="114">
        <f>'[1]Equipes-Pool'!$E$7</f>
        <v>204</v>
      </c>
      <c r="H10" s="114">
        <f>'[1]Equipes-Pool'!$F$7</f>
        <v>203</v>
      </c>
      <c r="I10" s="33">
        <f>F10+(G10-H10)</f>
        <v>81</v>
      </c>
      <c r="J10" s="7"/>
      <c r="K10" s="7"/>
      <c r="L10" s="7"/>
      <c r="M10" s="8"/>
      <c r="N10" s="265" t="s">
        <v>65</v>
      </c>
      <c r="O10" s="266"/>
      <c r="P10" s="266"/>
      <c r="Q10" s="266"/>
      <c r="R10" s="267"/>
      <c r="U10" s="161"/>
      <c r="W10" s="293" t="s">
        <v>195</v>
      </c>
      <c r="X10" s="294"/>
      <c r="Y10" s="294"/>
      <c r="Z10" s="294"/>
      <c r="AA10" s="294"/>
      <c r="AB10" s="295"/>
    </row>
    <row r="11" spans="2:28" ht="15" customHeight="1" thickBot="1">
      <c r="B11" s="7"/>
      <c r="C11" s="274" t="s">
        <v>7</v>
      </c>
      <c r="D11" s="275"/>
      <c r="E11" s="14">
        <f>SUM(E10:E10)</f>
        <v>68</v>
      </c>
      <c r="F11" s="14">
        <f>SUM(F10:F10)</f>
        <v>80</v>
      </c>
      <c r="G11" s="14">
        <f>SUM(G10:G10)</f>
        <v>204</v>
      </c>
      <c r="H11" s="14">
        <f>SUM(H10:H10)</f>
        <v>203</v>
      </c>
      <c r="I11" s="15">
        <f>F11+(G11-H11)</f>
        <v>81</v>
      </c>
      <c r="J11" s="7"/>
      <c r="K11" s="7"/>
      <c r="L11" s="7"/>
      <c r="M11" s="8"/>
      <c r="N11" s="16" t="s">
        <v>8</v>
      </c>
      <c r="O11" s="17" t="s">
        <v>9</v>
      </c>
      <c r="P11" s="71" t="s">
        <v>10</v>
      </c>
      <c r="Q11" s="18" t="s">
        <v>11</v>
      </c>
      <c r="R11" s="19" t="s">
        <v>68</v>
      </c>
      <c r="U11" s="161"/>
      <c r="W11" s="152" t="s">
        <v>8</v>
      </c>
      <c r="X11" s="296" t="s">
        <v>83</v>
      </c>
      <c r="Y11" s="297"/>
      <c r="Z11" s="296" t="s">
        <v>196</v>
      </c>
      <c r="AA11" s="297"/>
      <c r="AB11" s="158" t="s">
        <v>159</v>
      </c>
    </row>
    <row r="12" spans="2:28" ht="14.25" thickTop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  <c r="N12" s="20" t="s">
        <v>12</v>
      </c>
      <c r="O12" s="21">
        <f>E11</f>
        <v>68</v>
      </c>
      <c r="P12" s="72">
        <f>I11</f>
        <v>81</v>
      </c>
      <c r="Q12" s="23">
        <f aca="true" t="shared" si="0" ref="Q12:Q18">P12/O12</f>
        <v>1.1911764705882353</v>
      </c>
      <c r="R12" s="22">
        <f>'[2]Individuel'!$D$19</f>
        <v>107.5</v>
      </c>
      <c r="U12" s="161"/>
      <c r="W12" s="155"/>
      <c r="X12" s="154" t="s">
        <v>143</v>
      </c>
      <c r="Y12" s="154" t="s">
        <v>157</v>
      </c>
      <c r="Z12" s="154" t="s">
        <v>143</v>
      </c>
      <c r="AA12" s="154" t="s">
        <v>157</v>
      </c>
      <c r="AB12" s="156"/>
    </row>
    <row r="13" spans="2:28" ht="15" customHeight="1" thickBot="1">
      <c r="B13" s="254" t="s">
        <v>13</v>
      </c>
      <c r="C13" s="254"/>
      <c r="D13" s="254"/>
      <c r="E13" s="254"/>
      <c r="F13" s="254"/>
      <c r="G13" s="254"/>
      <c r="H13" s="254"/>
      <c r="I13" s="254"/>
      <c r="J13" s="254"/>
      <c r="K13" s="254"/>
      <c r="L13" s="24"/>
      <c r="M13" s="25"/>
      <c r="N13" s="26" t="s">
        <v>14</v>
      </c>
      <c r="O13" s="27">
        <f>E18</f>
        <v>114</v>
      </c>
      <c r="P13" s="73">
        <f>K18</f>
        <v>155</v>
      </c>
      <c r="Q13" s="29">
        <f t="shared" si="0"/>
        <v>1.3596491228070176</v>
      </c>
      <c r="R13" s="28">
        <f>'[2]Individuel'!$I$19</f>
        <v>146.5</v>
      </c>
      <c r="U13" s="161"/>
      <c r="W13" s="153" t="s">
        <v>156</v>
      </c>
      <c r="X13" s="14" t="s">
        <v>149</v>
      </c>
      <c r="Y13" s="14">
        <v>1313</v>
      </c>
      <c r="Z13" s="14"/>
      <c r="AA13" s="14"/>
      <c r="AB13" s="139">
        <f>Y13+AA13</f>
        <v>1313</v>
      </c>
    </row>
    <row r="14" spans="2:28" ht="15" customHeight="1" thickBot="1">
      <c r="B14" s="30" t="s">
        <v>15</v>
      </c>
      <c r="C14" s="30" t="s">
        <v>16</v>
      </c>
      <c r="D14" s="30" t="s">
        <v>17</v>
      </c>
      <c r="E14" s="31" t="s">
        <v>2</v>
      </c>
      <c r="F14" s="31" t="s">
        <v>18</v>
      </c>
      <c r="G14" s="31" t="s">
        <v>19</v>
      </c>
      <c r="H14" s="31" t="s">
        <v>20</v>
      </c>
      <c r="I14" s="31" t="s">
        <v>21</v>
      </c>
      <c r="J14" s="31" t="s">
        <v>22</v>
      </c>
      <c r="K14" s="32" t="s">
        <v>6</v>
      </c>
      <c r="L14" s="7"/>
      <c r="M14" s="8"/>
      <c r="N14" s="26" t="s">
        <v>23</v>
      </c>
      <c r="O14" s="27">
        <f>E37</f>
        <v>535</v>
      </c>
      <c r="P14" s="73">
        <f>H37</f>
        <v>439</v>
      </c>
      <c r="Q14" s="29">
        <f t="shared" si="0"/>
        <v>0.8205607476635514</v>
      </c>
      <c r="R14" s="28">
        <f>'[2]Individuel'!$N$19</f>
        <v>391.4</v>
      </c>
      <c r="U14" s="161"/>
      <c r="W14" s="49" t="s">
        <v>105</v>
      </c>
      <c r="X14" s="43" t="s">
        <v>150</v>
      </c>
      <c r="Y14" s="43">
        <v>82</v>
      </c>
      <c r="Z14" s="14"/>
      <c r="AA14" s="14"/>
      <c r="AB14" s="139">
        <f aca="true" t="shared" si="1" ref="AB14:AB27">Y14+AA14</f>
        <v>82</v>
      </c>
    </row>
    <row r="15" spans="2:28" ht="15" customHeight="1" thickTop="1">
      <c r="B15" s="106">
        <f>'[1]Pool-gardien'!$B$10</f>
        <v>25.052054794520547</v>
      </c>
      <c r="C15" s="106" t="str">
        <f>'[1]Pool-gardien'!$C$10</f>
        <v>Car</v>
      </c>
      <c r="D15" s="126" t="str">
        <f>'[1]Pool-gardien'!$D$10</f>
        <v>Cam Ward</v>
      </c>
      <c r="E15" s="106">
        <f>('[1]Pool-gardien'!$E$10)-7</f>
        <v>50</v>
      </c>
      <c r="F15" s="106">
        <f>('[1]Pool-gardien'!$F$10)-4</f>
        <v>26</v>
      </c>
      <c r="G15" s="106">
        <f>('[1]Pool-gardien'!$G$10)-1</f>
        <v>3</v>
      </c>
      <c r="H15" s="106">
        <f>('[1]Pool-gardien'!$H$10)</f>
        <v>5</v>
      </c>
      <c r="I15" s="106">
        <f>('[1]Pool-gardien'!$I$10)</f>
        <v>0</v>
      </c>
      <c r="J15" s="106">
        <f>('[1]Pool-gardien'!$J$10)</f>
        <v>1</v>
      </c>
      <c r="K15" s="33">
        <f>(F15*2)+G15+(H15*4)+(I15*10)+J15</f>
        <v>76</v>
      </c>
      <c r="L15" s="7"/>
      <c r="M15" s="8"/>
      <c r="N15" s="26" t="s">
        <v>24</v>
      </c>
      <c r="O15" s="27">
        <f>E48</f>
        <v>269</v>
      </c>
      <c r="P15" s="73">
        <f>H48</f>
        <v>249</v>
      </c>
      <c r="Q15" s="29">
        <f t="shared" si="0"/>
        <v>0.9256505576208178</v>
      </c>
      <c r="R15" s="28">
        <f>'[2]Individuel'!$D$33</f>
        <v>232.7</v>
      </c>
      <c r="U15" s="161"/>
      <c r="W15" s="49" t="s">
        <v>166</v>
      </c>
      <c r="X15" s="43" t="s">
        <v>152</v>
      </c>
      <c r="Y15" s="43">
        <v>94</v>
      </c>
      <c r="Z15" s="14"/>
      <c r="AA15" s="14"/>
      <c r="AB15" s="139">
        <f t="shared" si="1"/>
        <v>94</v>
      </c>
    </row>
    <row r="16" spans="2:28" ht="15" customHeight="1">
      <c r="B16" s="180">
        <f>'[1]Pool-gardien'!$B$24</f>
        <v>34.93424657534246</v>
      </c>
      <c r="C16" s="180" t="str">
        <f>'[1]Pool-gardien'!$C$24</f>
        <v>Bos</v>
      </c>
      <c r="D16" s="181" t="str">
        <f>'[1]Pool-gardien'!$D$24</f>
        <v>Tim Thomas</v>
      </c>
      <c r="E16" s="180">
        <v>8</v>
      </c>
      <c r="F16" s="180">
        <v>7</v>
      </c>
      <c r="G16" s="180">
        <v>0</v>
      </c>
      <c r="H16" s="180">
        <v>1</v>
      </c>
      <c r="I16" s="180">
        <v>0</v>
      </c>
      <c r="J16" s="180">
        <v>0</v>
      </c>
      <c r="K16" s="203">
        <f>(F16*2)+G16+(H16*4)+(I16*10)+J16</f>
        <v>18</v>
      </c>
      <c r="L16" s="7"/>
      <c r="M16" s="8"/>
      <c r="N16" s="26" t="s">
        <v>25</v>
      </c>
      <c r="O16" s="27">
        <f>E64</f>
        <v>383</v>
      </c>
      <c r="P16" s="73">
        <f>H64</f>
        <v>181</v>
      </c>
      <c r="Q16" s="29">
        <f t="shared" si="0"/>
        <v>0.4725848563968668</v>
      </c>
      <c r="R16" s="28">
        <f>'[2]Individuel'!$I$33</f>
        <v>193.3</v>
      </c>
      <c r="U16" s="161"/>
      <c r="W16" s="49" t="s">
        <v>14</v>
      </c>
      <c r="X16" s="43" t="s">
        <v>151</v>
      </c>
      <c r="Y16" s="43">
        <v>167</v>
      </c>
      <c r="Z16" s="14"/>
      <c r="AA16" s="14"/>
      <c r="AB16" s="139">
        <f t="shared" si="1"/>
        <v>167</v>
      </c>
    </row>
    <row r="17" spans="2:28" ht="15" customHeight="1" thickBot="1">
      <c r="B17" s="109">
        <f>'[1]Pool-gardien'!$B$26</f>
        <v>28.742465753424657</v>
      </c>
      <c r="C17" s="109" t="str">
        <f>'[1]Pool-gardien'!$C$26</f>
        <v>Phx</v>
      </c>
      <c r="D17" s="111" t="str">
        <f>'[1]Pool-gardien'!$D$26</f>
        <v>Ilja Bryzgalov</v>
      </c>
      <c r="E17" s="113">
        <f>('[1]Pool-gardien'!$E$26)</f>
        <v>56</v>
      </c>
      <c r="F17" s="113">
        <f>('[1]Pool-gardien'!$F$26)</f>
        <v>21</v>
      </c>
      <c r="G17" s="113">
        <f>('[1]Pool-gardien'!$G$26)</f>
        <v>5</v>
      </c>
      <c r="H17" s="113">
        <f>('[1]Pool-gardien'!$H$26)</f>
        <v>3</v>
      </c>
      <c r="I17" s="113">
        <f>('[1]Pool-gardien'!$I$26)</f>
        <v>0</v>
      </c>
      <c r="J17" s="113">
        <f>('[1]Pool-gardien'!$J$26)</f>
        <v>2</v>
      </c>
      <c r="K17" s="37">
        <f>(F17*2)+G17+(H17*4)+(I17*10)+J17</f>
        <v>61</v>
      </c>
      <c r="L17" s="7"/>
      <c r="M17" s="8"/>
      <c r="N17" s="38" t="s">
        <v>27</v>
      </c>
      <c r="O17" s="117">
        <f>E81</f>
        <v>119</v>
      </c>
      <c r="P17" s="74">
        <f>H81</f>
        <v>55</v>
      </c>
      <c r="Q17" s="41">
        <f t="shared" si="0"/>
        <v>0.46218487394957986</v>
      </c>
      <c r="R17" s="40">
        <f>'[2]Individuel'!$N$33</f>
        <v>63.8</v>
      </c>
      <c r="U17" s="161"/>
      <c r="W17" s="49" t="s">
        <v>84</v>
      </c>
      <c r="X17" s="43" t="s">
        <v>147</v>
      </c>
      <c r="Y17" s="43">
        <v>464</v>
      </c>
      <c r="Z17" s="14"/>
      <c r="AA17" s="14"/>
      <c r="AB17" s="139">
        <f t="shared" si="1"/>
        <v>464</v>
      </c>
    </row>
    <row r="18" spans="2:28" ht="15" customHeight="1">
      <c r="B18" s="274" t="s">
        <v>26</v>
      </c>
      <c r="C18" s="275"/>
      <c r="D18" s="255"/>
      <c r="E18" s="14">
        <f aca="true" t="shared" si="2" ref="E18:J18">SUM(E15:E17)</f>
        <v>114</v>
      </c>
      <c r="F18" s="14">
        <f t="shared" si="2"/>
        <v>54</v>
      </c>
      <c r="G18" s="14">
        <f t="shared" si="2"/>
        <v>8</v>
      </c>
      <c r="H18" s="14">
        <f t="shared" si="2"/>
        <v>9</v>
      </c>
      <c r="I18" s="14">
        <f t="shared" si="2"/>
        <v>0</v>
      </c>
      <c r="J18" s="14">
        <f t="shared" si="2"/>
        <v>3</v>
      </c>
      <c r="K18" s="33">
        <f>(F18*2)+G18+(H18*4)+(I18*10)+J18</f>
        <v>155</v>
      </c>
      <c r="L18" s="7"/>
      <c r="M18" s="8"/>
      <c r="N18" s="42" t="s">
        <v>28</v>
      </c>
      <c r="O18" s="22">
        <f>SUM(O12:O17)</f>
        <v>1488</v>
      </c>
      <c r="P18" s="75">
        <f>SUM(P12:P17)</f>
        <v>1160</v>
      </c>
      <c r="Q18" s="23">
        <f t="shared" si="0"/>
        <v>0.7795698924731183</v>
      </c>
      <c r="R18" s="22">
        <f>'[2]Classement'!$C$20</f>
        <v>1135.2</v>
      </c>
      <c r="U18" s="161"/>
      <c r="W18" s="49" t="s">
        <v>24</v>
      </c>
      <c r="X18" s="43" t="s">
        <v>154</v>
      </c>
      <c r="Y18" s="43">
        <v>252</v>
      </c>
      <c r="Z18" s="14"/>
      <c r="AA18" s="14"/>
      <c r="AB18" s="139">
        <f t="shared" si="1"/>
        <v>252</v>
      </c>
    </row>
    <row r="19" spans="2:28" ht="15" customHeight="1" thickBot="1">
      <c r="B19" s="5"/>
      <c r="C19" s="5"/>
      <c r="D19" s="5"/>
      <c r="E19" s="7"/>
      <c r="F19" s="7"/>
      <c r="G19" s="7"/>
      <c r="H19" s="7"/>
      <c r="I19" s="7"/>
      <c r="J19" s="7"/>
      <c r="K19" s="7"/>
      <c r="L19" s="7"/>
      <c r="M19" s="8"/>
      <c r="U19" s="161"/>
      <c r="W19" s="49" t="s">
        <v>25</v>
      </c>
      <c r="X19" s="43" t="s">
        <v>148</v>
      </c>
      <c r="Y19" s="43">
        <v>226</v>
      </c>
      <c r="Z19" s="14"/>
      <c r="AA19" s="14"/>
      <c r="AB19" s="139">
        <f t="shared" si="1"/>
        <v>226</v>
      </c>
    </row>
    <row r="20" spans="2:28" ht="15" customHeight="1" thickBot="1">
      <c r="B20" s="256" t="s">
        <v>23</v>
      </c>
      <c r="C20" s="257"/>
      <c r="D20" s="257"/>
      <c r="E20" s="257"/>
      <c r="F20" s="257"/>
      <c r="G20" s="257"/>
      <c r="H20" s="257"/>
      <c r="I20" s="258"/>
      <c r="J20" s="7"/>
      <c r="K20" s="7"/>
      <c r="L20" s="7"/>
      <c r="M20" s="8"/>
      <c r="N20" s="265" t="s">
        <v>64</v>
      </c>
      <c r="O20" s="266"/>
      <c r="P20" s="266"/>
      <c r="Q20" s="266"/>
      <c r="R20" s="267"/>
      <c r="U20" s="161"/>
      <c r="W20" s="49" t="s">
        <v>85</v>
      </c>
      <c r="X20" s="43" t="s">
        <v>147</v>
      </c>
      <c r="Y20" s="43">
        <v>90</v>
      </c>
      <c r="Z20" s="14"/>
      <c r="AA20" s="14"/>
      <c r="AB20" s="139">
        <f t="shared" si="1"/>
        <v>90</v>
      </c>
    </row>
    <row r="21" spans="2:28" ht="15" customHeight="1" thickBot="1">
      <c r="B21" s="30" t="s">
        <v>15</v>
      </c>
      <c r="C21" s="30" t="s">
        <v>29</v>
      </c>
      <c r="D21" s="30" t="s">
        <v>17</v>
      </c>
      <c r="E21" s="31" t="s">
        <v>2</v>
      </c>
      <c r="F21" s="31" t="s">
        <v>21</v>
      </c>
      <c r="G21" s="31" t="s">
        <v>30</v>
      </c>
      <c r="H21" s="32" t="s">
        <v>6</v>
      </c>
      <c r="I21" s="31" t="s">
        <v>11</v>
      </c>
      <c r="J21" s="7"/>
      <c r="K21" s="7"/>
      <c r="L21" s="7"/>
      <c r="M21" s="8"/>
      <c r="N21" s="16" t="s">
        <v>8</v>
      </c>
      <c r="O21" s="17" t="s">
        <v>9</v>
      </c>
      <c r="P21" s="71" t="s">
        <v>10</v>
      </c>
      <c r="Q21" s="18" t="s">
        <v>11</v>
      </c>
      <c r="R21" s="19" t="s">
        <v>68</v>
      </c>
      <c r="U21" s="161"/>
      <c r="W21" s="49" t="s">
        <v>21</v>
      </c>
      <c r="X21" s="43" t="s">
        <v>147</v>
      </c>
      <c r="Y21" s="43">
        <v>396</v>
      </c>
      <c r="Z21" s="14"/>
      <c r="AA21" s="14"/>
      <c r="AB21" s="139">
        <f t="shared" si="1"/>
        <v>396</v>
      </c>
    </row>
    <row r="22" spans="2:28" ht="15" customHeight="1" thickTop="1">
      <c r="B22" s="107">
        <f>'[1]POOL-joueus'!$B$5</f>
        <v>23.5013698630137</v>
      </c>
      <c r="C22" s="107" t="str">
        <f>'[1]POOL-joueus'!$C$5</f>
        <v>Wsh</v>
      </c>
      <c r="D22" s="124" t="str">
        <f>'[1]POOL-joueus'!$D$5</f>
        <v>Alexander Ovechkin</v>
      </c>
      <c r="E22" s="107">
        <f>('[1]POOL-joueus'!$E$5)</f>
        <v>65</v>
      </c>
      <c r="F22" s="107">
        <f>('[1]POOL-joueus'!$F$5)</f>
        <v>47</v>
      </c>
      <c r="G22" s="107">
        <f>('[1]POOL-joueus'!$G$5)</f>
        <v>38</v>
      </c>
      <c r="H22" s="44">
        <f aca="true" t="shared" si="3" ref="H22:H37">SUM(F22:G22)</f>
        <v>85</v>
      </c>
      <c r="I22" s="45">
        <f aca="true" t="shared" si="4" ref="I22:I37">H22/E22</f>
        <v>1.3076923076923077</v>
      </c>
      <c r="J22" s="7"/>
      <c r="K22" s="7"/>
      <c r="L22" s="7"/>
      <c r="M22" s="8"/>
      <c r="N22" s="20" t="s">
        <v>31</v>
      </c>
      <c r="O22" s="27">
        <f>E87</f>
        <v>68</v>
      </c>
      <c r="P22" s="73">
        <f>I87</f>
        <v>20</v>
      </c>
      <c r="Q22" s="29">
        <f>P22/O22</f>
        <v>0.29411764705882354</v>
      </c>
      <c r="R22" s="63"/>
      <c r="U22" s="161"/>
      <c r="W22" s="49" t="s">
        <v>30</v>
      </c>
      <c r="X22" s="43" t="s">
        <v>148</v>
      </c>
      <c r="Y22" s="43">
        <v>650</v>
      </c>
      <c r="Z22" s="14"/>
      <c r="AA22" s="14"/>
      <c r="AB22" s="139">
        <f t="shared" si="1"/>
        <v>650</v>
      </c>
    </row>
    <row r="23" spans="2:28" ht="15" customHeight="1">
      <c r="B23" s="107">
        <f>'[1]POOL-joueus'!$B$137</f>
        <v>25.043835616438358</v>
      </c>
      <c r="C23" s="107" t="str">
        <f>'[1]POOL-joueus'!$C$137</f>
        <v>Wsh</v>
      </c>
      <c r="D23" s="124" t="str">
        <f>'[1]POOL-joueus'!$D$137</f>
        <v>Alexander Semin</v>
      </c>
      <c r="E23" s="107">
        <f>(('[1]POOL-joueus'!$E$137))-2</f>
        <v>47</v>
      </c>
      <c r="F23" s="107">
        <f>(('[1]POOL-joueus'!$F$137))-1</f>
        <v>27</v>
      </c>
      <c r="G23" s="107">
        <f>(('[1]POOL-joueus'!$G$137))-1</f>
        <v>34</v>
      </c>
      <c r="H23" s="44">
        <f t="shared" si="3"/>
        <v>61</v>
      </c>
      <c r="I23" s="45">
        <f t="shared" si="4"/>
        <v>1.297872340425532</v>
      </c>
      <c r="J23" s="7"/>
      <c r="K23" s="7"/>
      <c r="L23" s="7"/>
      <c r="M23" s="8"/>
      <c r="N23" s="26" t="s">
        <v>32</v>
      </c>
      <c r="O23" s="27">
        <f>E95</f>
        <v>44</v>
      </c>
      <c r="P23" s="73">
        <f>K95</f>
        <v>72</v>
      </c>
      <c r="Q23" s="29">
        <f aca="true" t="shared" si="5" ref="Q23:Q28">P23/O23</f>
        <v>1.6363636363636365</v>
      </c>
      <c r="R23" s="63"/>
      <c r="U23" s="161"/>
      <c r="W23" s="49" t="s">
        <v>86</v>
      </c>
      <c r="X23" s="43" t="s">
        <v>147</v>
      </c>
      <c r="Y23" s="43">
        <v>1046</v>
      </c>
      <c r="Z23" s="14"/>
      <c r="AA23" s="14"/>
      <c r="AB23" s="139">
        <f t="shared" si="1"/>
        <v>1046</v>
      </c>
    </row>
    <row r="24" spans="2:28" ht="15" customHeight="1">
      <c r="B24" s="107">
        <f>'[1]POOL-joueus'!$B$292</f>
        <v>38.72054794520548</v>
      </c>
      <c r="C24" s="107" t="str">
        <f>'[1]POOL-joueus'!$C$292</f>
        <v>Ana</v>
      </c>
      <c r="D24" s="124" t="str">
        <f>'[1]POOL-joueus'!$D$292</f>
        <v>Teemu Selanne</v>
      </c>
      <c r="E24" s="107">
        <f>('[1]POOL-joueus'!$E$292)-2</f>
        <v>49</v>
      </c>
      <c r="F24" s="107">
        <f>('[1]POOL-joueus'!$F$292)-1</f>
        <v>20</v>
      </c>
      <c r="G24" s="107">
        <f>('[1]POOL-joueus'!$G$292)-2</f>
        <v>19</v>
      </c>
      <c r="H24" s="44">
        <f t="shared" si="3"/>
        <v>39</v>
      </c>
      <c r="I24" s="45">
        <f t="shared" si="4"/>
        <v>0.7959183673469388</v>
      </c>
      <c r="J24" s="7"/>
      <c r="K24" s="7"/>
      <c r="L24" s="7"/>
      <c r="M24" s="8"/>
      <c r="N24" s="26" t="s">
        <v>33</v>
      </c>
      <c r="O24" s="27">
        <f>E110</f>
        <v>130</v>
      </c>
      <c r="P24" s="73">
        <f>H110</f>
        <v>87</v>
      </c>
      <c r="Q24" s="29">
        <f t="shared" si="5"/>
        <v>0.6692307692307692</v>
      </c>
      <c r="R24" s="63"/>
      <c r="U24" s="161"/>
      <c r="W24" s="49" t="s">
        <v>87</v>
      </c>
      <c r="X24" s="43" t="s">
        <v>152</v>
      </c>
      <c r="Y24" s="43">
        <v>474</v>
      </c>
      <c r="Z24" s="14"/>
      <c r="AA24" s="14"/>
      <c r="AB24" s="139">
        <f t="shared" si="1"/>
        <v>474</v>
      </c>
    </row>
    <row r="25" spans="2:28" ht="15" customHeight="1">
      <c r="B25" s="107">
        <f>'[1]POOL-joueus'!$B$66</f>
        <v>24.36986301369863</v>
      </c>
      <c r="C25" s="107" t="str">
        <f>'[1]POOL-joueus'!$C$66</f>
        <v>L.A.</v>
      </c>
      <c r="D25" s="124" t="str">
        <f>'[1]POOL-joueus'!$D$66</f>
        <v>Dustin Brown</v>
      </c>
      <c r="E25" s="106">
        <f>'[1]POOL-joueus'!$E$66</f>
        <v>64</v>
      </c>
      <c r="F25" s="106">
        <f>'[1]POOL-joueus'!$F$66</f>
        <v>23</v>
      </c>
      <c r="G25" s="106">
        <f>'[1]POOL-joueus'!$G$66</f>
        <v>27</v>
      </c>
      <c r="H25" s="44">
        <f t="shared" si="3"/>
        <v>50</v>
      </c>
      <c r="I25" s="45">
        <f t="shared" si="4"/>
        <v>0.78125</v>
      </c>
      <c r="J25" s="7"/>
      <c r="K25" s="7"/>
      <c r="L25" s="7"/>
      <c r="M25" s="8"/>
      <c r="N25" s="26" t="s">
        <v>34</v>
      </c>
      <c r="O25" s="27">
        <f>E122</f>
        <v>136</v>
      </c>
      <c r="P25" s="73">
        <f>H122</f>
        <v>98</v>
      </c>
      <c r="Q25" s="29">
        <f t="shared" si="5"/>
        <v>0.7205882352941176</v>
      </c>
      <c r="R25" s="63"/>
      <c r="U25" s="161"/>
      <c r="W25" s="49" t="s">
        <v>112</v>
      </c>
      <c r="X25" s="43" t="s">
        <v>150</v>
      </c>
      <c r="Y25" s="43">
        <v>66</v>
      </c>
      <c r="Z25" s="14"/>
      <c r="AA25" s="14"/>
      <c r="AB25" s="139">
        <f t="shared" si="1"/>
        <v>66</v>
      </c>
    </row>
    <row r="26" spans="2:28" ht="15" customHeight="1">
      <c r="B26" s="107">
        <f>'[1]POOL-joueus'!$B$228</f>
        <v>23.671232876712327</v>
      </c>
      <c r="C26" s="107" t="str">
        <f>'[1]POOL-joueus'!$C$228</f>
        <v>Dal</v>
      </c>
      <c r="D26" s="124" t="str">
        <f>'[1]POOL-joueus'!$D$228</f>
        <v>Loui Eriksson</v>
      </c>
      <c r="E26" s="107">
        <f>('[1]POOL-joueus'!$E$228)-9</f>
        <v>59</v>
      </c>
      <c r="F26" s="107">
        <f>('[1]POOL-joueus'!$F$228)-4</f>
        <v>28</v>
      </c>
      <c r="G26" s="107">
        <f>('[1]POOL-joueus'!$G$228)-2</f>
        <v>18</v>
      </c>
      <c r="H26" s="44">
        <f t="shared" si="3"/>
        <v>46</v>
      </c>
      <c r="I26" s="45">
        <f t="shared" si="4"/>
        <v>0.7796610169491526</v>
      </c>
      <c r="J26" s="7"/>
      <c r="K26" s="7"/>
      <c r="L26" s="7"/>
      <c r="M26" s="8"/>
      <c r="N26" s="26" t="s">
        <v>35</v>
      </c>
      <c r="O26" s="27">
        <f>E135</f>
        <v>191</v>
      </c>
      <c r="P26" s="73">
        <f>H135</f>
        <v>74</v>
      </c>
      <c r="Q26" s="29">
        <f t="shared" si="5"/>
        <v>0.387434554973822</v>
      </c>
      <c r="R26" s="63"/>
      <c r="U26" s="161"/>
      <c r="W26" s="49" t="s">
        <v>88</v>
      </c>
      <c r="X26" s="43" t="s">
        <v>152</v>
      </c>
      <c r="Y26" s="43">
        <v>7</v>
      </c>
      <c r="Z26" s="14"/>
      <c r="AA26" s="14"/>
      <c r="AB26" s="139">
        <f t="shared" si="1"/>
        <v>7</v>
      </c>
    </row>
    <row r="27" spans="2:28" ht="15" customHeight="1" thickBot="1">
      <c r="B27" s="183">
        <f>'[1]POOL-joueus'!$B$181</f>
        <v>25.73972602739726</v>
      </c>
      <c r="C27" s="183" t="str">
        <f>'[1]POOL-joueus'!$C$181</f>
        <v>Wsh</v>
      </c>
      <c r="D27" s="184" t="str">
        <f>'[1]POOL-joueus'!$D$181</f>
        <v>Brooks Laich</v>
      </c>
      <c r="E27" s="183">
        <v>39</v>
      </c>
      <c r="F27" s="183">
        <v>11</v>
      </c>
      <c r="G27" s="183">
        <v>11</v>
      </c>
      <c r="H27" s="187">
        <f t="shared" si="3"/>
        <v>22</v>
      </c>
      <c r="I27" s="188">
        <f t="shared" si="4"/>
        <v>0.5641025641025641</v>
      </c>
      <c r="J27" s="7"/>
      <c r="K27" s="7"/>
      <c r="L27" s="7"/>
      <c r="M27" s="8"/>
      <c r="N27" s="38" t="s">
        <v>36</v>
      </c>
      <c r="O27" s="117">
        <f>E159</f>
        <v>189</v>
      </c>
      <c r="P27" s="74">
        <f>H159</f>
        <v>88</v>
      </c>
      <c r="Q27" s="41">
        <f t="shared" si="5"/>
        <v>0.4656084656084656</v>
      </c>
      <c r="R27" s="64"/>
      <c r="U27" s="161"/>
      <c r="W27" s="49" t="s">
        <v>160</v>
      </c>
      <c r="X27" s="43" t="s">
        <v>151</v>
      </c>
      <c r="Y27" s="43">
        <v>12</v>
      </c>
      <c r="Z27" s="14"/>
      <c r="AA27" s="14"/>
      <c r="AB27" s="139">
        <f t="shared" si="1"/>
        <v>12</v>
      </c>
    </row>
    <row r="28" spans="2:28" ht="15" customHeight="1">
      <c r="B28" s="107">
        <f>'[1]POOL-joueus'!$B$141</f>
        <v>25.205479452054796</v>
      </c>
      <c r="C28" s="107" t="str">
        <f>'[1]POOL-joueus'!$C$141</f>
        <v>Det</v>
      </c>
      <c r="D28" s="124" t="str">
        <f>'[1]POOL-joueus'!$D$141</f>
        <v>Jiri Hulder</v>
      </c>
      <c r="E28" s="107">
        <f>('[1]POOL-joueus'!$E$141)-13</f>
        <v>55</v>
      </c>
      <c r="F28" s="107">
        <f>(('[1]POOL-joueus'!$F$141)-0)-4</f>
        <v>16</v>
      </c>
      <c r="G28" s="107">
        <f>(('[1]POOL-joueus'!$G$141)-0)-10</f>
        <v>20</v>
      </c>
      <c r="H28" s="44">
        <f t="shared" si="3"/>
        <v>36</v>
      </c>
      <c r="I28" s="45">
        <f t="shared" si="4"/>
        <v>0.6545454545454545</v>
      </c>
      <c r="J28" s="7"/>
      <c r="K28" s="7"/>
      <c r="L28" s="7"/>
      <c r="M28" s="8"/>
      <c r="N28" s="42" t="s">
        <v>37</v>
      </c>
      <c r="O28" s="22">
        <f>SUM(O22:O27)</f>
        <v>758</v>
      </c>
      <c r="P28" s="72">
        <f>SUM(P22:P27)</f>
        <v>439</v>
      </c>
      <c r="Q28" s="23">
        <f t="shared" si="5"/>
        <v>0.579155672823219</v>
      </c>
      <c r="R28" s="22">
        <f>'[2]Individuel'!$I$61</f>
        <v>420.7</v>
      </c>
      <c r="U28" s="161"/>
      <c r="W28" s="49" t="s">
        <v>161</v>
      </c>
      <c r="X28" s="43" t="s">
        <v>147</v>
      </c>
      <c r="Y28" s="43">
        <v>62</v>
      </c>
      <c r="Z28" s="14"/>
      <c r="AA28" s="14"/>
      <c r="AB28" s="139">
        <f>Y28+AA28</f>
        <v>62</v>
      </c>
    </row>
    <row r="29" spans="2:28" ht="15" customHeight="1" thickBot="1">
      <c r="B29" s="189">
        <f>'[1]POOL-joueus'!$B$62</f>
        <v>23.805479452054794</v>
      </c>
      <c r="C29" s="189" t="str">
        <f>'[1]POOL-joueus'!$C$62</f>
        <v>Fla</v>
      </c>
      <c r="D29" s="190" t="str">
        <f>'[1]POOL-joueus'!$D$62</f>
        <v>Nathan Horton</v>
      </c>
      <c r="E29" s="189">
        <v>57</v>
      </c>
      <c r="F29" s="189">
        <v>19</v>
      </c>
      <c r="G29" s="189">
        <v>19</v>
      </c>
      <c r="H29" s="187">
        <f t="shared" si="3"/>
        <v>38</v>
      </c>
      <c r="I29" s="188">
        <f t="shared" si="4"/>
        <v>0.6666666666666666</v>
      </c>
      <c r="J29" s="7"/>
      <c r="K29" s="7"/>
      <c r="L29" s="7"/>
      <c r="M29" s="8"/>
      <c r="U29" s="161"/>
      <c r="W29" s="49" t="s">
        <v>165</v>
      </c>
      <c r="X29" s="73" t="s">
        <v>95</v>
      </c>
      <c r="Y29" s="173">
        <v>25</v>
      </c>
      <c r="Z29" s="173"/>
      <c r="AA29" s="173"/>
      <c r="AB29" s="160"/>
    </row>
    <row r="30" spans="1:28" ht="15" customHeight="1">
      <c r="A30" s="142"/>
      <c r="B30" s="183">
        <f>'[1]POOL-joueus'!$B$183</f>
        <v>30.397260273972602</v>
      </c>
      <c r="C30" s="183" t="str">
        <f>'[1]POOL-joueus'!$C$183</f>
        <v>Car</v>
      </c>
      <c r="D30" s="184" t="str">
        <f>'[1]POOL-joueus'!$D$183</f>
        <v>Sergei Samsonov</v>
      </c>
      <c r="E30" s="183">
        <v>41</v>
      </c>
      <c r="F30" s="183">
        <v>9</v>
      </c>
      <c r="G30" s="183">
        <v>14</v>
      </c>
      <c r="H30" s="187">
        <f t="shared" si="3"/>
        <v>23</v>
      </c>
      <c r="I30" s="188">
        <f t="shared" si="4"/>
        <v>0.5609756097560976</v>
      </c>
      <c r="J30" s="7"/>
      <c r="K30" s="7"/>
      <c r="L30" s="7"/>
      <c r="M30" s="8"/>
      <c r="N30" s="265" t="s">
        <v>60</v>
      </c>
      <c r="O30" s="266"/>
      <c r="P30" s="266"/>
      <c r="Q30" s="266"/>
      <c r="R30" s="267"/>
      <c r="U30" s="161"/>
      <c r="W30" s="159"/>
      <c r="X30" s="298" t="s">
        <v>81</v>
      </c>
      <c r="Y30" s="299"/>
      <c r="Z30" s="298" t="s">
        <v>81</v>
      </c>
      <c r="AA30" s="299"/>
      <c r="AB30" s="160"/>
    </row>
    <row r="31" spans="1:28" ht="15" customHeight="1" thickBot="1">
      <c r="A31" s="57" t="s">
        <v>237</v>
      </c>
      <c r="B31" s="189">
        <f>'[1]POOL-joueus'!$B$507</f>
        <v>25.775342465753425</v>
      </c>
      <c r="C31" s="189" t="str">
        <f>'[1]POOL-joueus'!$C$507</f>
        <v>Det</v>
      </c>
      <c r="D31" s="190" t="str">
        <f>'[1]POOL-joueus'!$D$507</f>
        <v>Ville Leino</v>
      </c>
      <c r="E31" s="189">
        <v>3</v>
      </c>
      <c r="F31" s="189">
        <v>1</v>
      </c>
      <c r="G31" s="189">
        <v>0</v>
      </c>
      <c r="H31" s="187">
        <f>SUM(F31:G31)</f>
        <v>1</v>
      </c>
      <c r="I31" s="188">
        <f>H31/E31</f>
        <v>0.3333333333333333</v>
      </c>
      <c r="J31" s="7"/>
      <c r="K31" s="7"/>
      <c r="L31" s="7"/>
      <c r="M31" s="8"/>
      <c r="N31" s="16" t="s">
        <v>8</v>
      </c>
      <c r="O31" s="17" t="s">
        <v>9</v>
      </c>
      <c r="P31" s="17" t="s">
        <v>62</v>
      </c>
      <c r="Q31" s="18" t="s">
        <v>11</v>
      </c>
      <c r="R31" s="19" t="s">
        <v>68</v>
      </c>
      <c r="U31" s="161"/>
      <c r="W31" s="49" t="s">
        <v>167</v>
      </c>
      <c r="X31" s="259">
        <v>0</v>
      </c>
      <c r="Y31" s="260"/>
      <c r="Z31" s="259">
        <v>1</v>
      </c>
      <c r="AA31" s="260"/>
      <c r="AB31" s="140">
        <f>X31+Z31</f>
        <v>1</v>
      </c>
    </row>
    <row r="32" spans="2:28" ht="15" customHeight="1" thickTop="1">
      <c r="B32" s="107">
        <f>'[1]POOL-joueus'!$B$122</f>
        <v>25.487671232876714</v>
      </c>
      <c r="C32" s="107" t="str">
        <f>'[1]POOL-joueus'!$C$122</f>
        <v>Phi</v>
      </c>
      <c r="D32" s="124" t="str">
        <f>'[1]POOL-joueus'!$D$122</f>
        <v>Joffrey Lupul</v>
      </c>
      <c r="E32" s="107">
        <f>((('[1]POOL-joueus'!$E$122)-23)-2)-9</f>
        <v>28</v>
      </c>
      <c r="F32" s="107">
        <f>((('[1]POOL-joueus'!$F$122)-8)-0)-4</f>
        <v>8</v>
      </c>
      <c r="G32" s="107">
        <f>((('[1]POOL-joueus'!$G$122)-3)-2)-2</f>
        <v>15</v>
      </c>
      <c r="H32" s="44">
        <f t="shared" si="3"/>
        <v>23</v>
      </c>
      <c r="I32" s="45">
        <f t="shared" si="4"/>
        <v>0.8214285714285714</v>
      </c>
      <c r="J32" s="7"/>
      <c r="K32" s="7"/>
      <c r="L32" s="7"/>
      <c r="M32" s="8"/>
      <c r="N32" s="20" t="s">
        <v>21</v>
      </c>
      <c r="O32" s="69"/>
      <c r="P32" s="22">
        <f>F37+F48+F64+F79</f>
        <v>372</v>
      </c>
      <c r="Q32" s="23">
        <f>P32/O34</f>
        <v>0.2850574712643678</v>
      </c>
      <c r="R32" s="22">
        <f>'[2]Individuel'!$D$47</f>
        <v>320.7</v>
      </c>
      <c r="U32" s="161"/>
      <c r="W32" s="49" t="s">
        <v>168</v>
      </c>
      <c r="X32" s="259">
        <v>5</v>
      </c>
      <c r="Y32" s="260"/>
      <c r="Z32" s="259">
        <v>1</v>
      </c>
      <c r="AA32" s="260"/>
      <c r="AB32" s="140">
        <f>X32+Z32</f>
        <v>6</v>
      </c>
    </row>
    <row r="33" spans="2:28" ht="15" customHeight="1">
      <c r="B33" s="107">
        <f>'[1]POOL-joueus'!$B$801</f>
        <v>26.224657534246575</v>
      </c>
      <c r="C33" s="107" t="str">
        <f>'[1]POOL-joueus'!$C$801</f>
        <v>Cgy</v>
      </c>
      <c r="D33" s="124" t="str">
        <f>'[1]POOL-joueus'!$D$801</f>
        <v>Curtis Glencross</v>
      </c>
      <c r="E33" s="107">
        <f>(('[1]POOL-joueus'!$E$801)-24)-26</f>
        <v>12</v>
      </c>
      <c r="F33" s="107">
        <f>(('[1]POOL-joueus'!$F$801)-5)-3</f>
        <v>3</v>
      </c>
      <c r="G33" s="107">
        <f>(('[1]POOL-joueus'!$G$801)-10)-9</f>
        <v>6</v>
      </c>
      <c r="H33" s="44">
        <f t="shared" si="3"/>
        <v>9</v>
      </c>
      <c r="I33" s="45">
        <f t="shared" si="4"/>
        <v>0.75</v>
      </c>
      <c r="J33" s="7"/>
      <c r="K33" s="7"/>
      <c r="L33" s="7"/>
      <c r="M33" s="8"/>
      <c r="N33" s="26" t="s">
        <v>30</v>
      </c>
      <c r="O33" s="69"/>
      <c r="P33" s="28">
        <f>G37+G48+G64+G79</f>
        <v>552</v>
      </c>
      <c r="Q33" s="29">
        <f>P33/O34</f>
        <v>0.42298850574712643</v>
      </c>
      <c r="R33" s="28">
        <f>'[2]Individuel'!$I$47</f>
        <v>539.3</v>
      </c>
      <c r="U33" s="161"/>
      <c r="W33" s="49" t="s">
        <v>89</v>
      </c>
      <c r="X33" s="259">
        <v>1</v>
      </c>
      <c r="Y33" s="260"/>
      <c r="Z33" s="259"/>
      <c r="AA33" s="260"/>
      <c r="AB33" s="140">
        <f>X33+Z33</f>
        <v>1</v>
      </c>
    </row>
    <row r="34" spans="2:28" ht="15" customHeight="1">
      <c r="B34" s="180">
        <f>'[1]POOL-joueus'!$B$96</f>
        <v>24.126027397260273</v>
      </c>
      <c r="C34" s="180" t="str">
        <f>'[1]POOL-joueus'!$C$96</f>
        <v>Edm</v>
      </c>
      <c r="D34" s="181" t="str">
        <f>'[1]POOL-joueus'!$D$96</f>
        <v>Patrick O'Sullivan</v>
      </c>
      <c r="E34" s="180">
        <v>14</v>
      </c>
      <c r="F34" s="180">
        <v>2</v>
      </c>
      <c r="G34" s="180">
        <v>4</v>
      </c>
      <c r="H34" s="203">
        <f t="shared" si="3"/>
        <v>6</v>
      </c>
      <c r="I34" s="222">
        <f t="shared" si="4"/>
        <v>0.42857142857142855</v>
      </c>
      <c r="J34" s="7"/>
      <c r="K34" s="7"/>
      <c r="L34" s="7"/>
      <c r="M34" s="8"/>
      <c r="N34" s="26" t="s">
        <v>55</v>
      </c>
      <c r="O34" s="27">
        <f>E37+E48+E64+E79</f>
        <v>1305</v>
      </c>
      <c r="P34" s="28">
        <f>SUM(P32:P33)</f>
        <v>924</v>
      </c>
      <c r="Q34" s="29">
        <f>P34/O34</f>
        <v>0.7080459770114943</v>
      </c>
      <c r="R34" s="28">
        <f>'[2]Individuel'!$N$47</f>
        <v>860</v>
      </c>
      <c r="U34" s="161"/>
      <c r="W34" s="49" t="s">
        <v>194</v>
      </c>
      <c r="X34" s="259">
        <v>0</v>
      </c>
      <c r="Y34" s="260"/>
      <c r="Z34" s="259"/>
      <c r="AA34" s="260"/>
      <c r="AB34" s="140">
        <f>X34+Z34</f>
        <v>0</v>
      </c>
    </row>
    <row r="35" spans="2:28" ht="15" customHeight="1">
      <c r="B35" s="189">
        <f>'[1]POOL-joueus'!$B$550</f>
        <v>22.21095890410959</v>
      </c>
      <c r="C35" s="189" t="str">
        <f>'[1]POOL-joueus'!$C$550</f>
        <v>Nsh</v>
      </c>
      <c r="D35" s="190" t="str">
        <f>'[1]POOL-joueus'!$D$550</f>
        <v>Patric Hornqvist</v>
      </c>
      <c r="E35" s="214">
        <v>1</v>
      </c>
      <c r="F35" s="214">
        <v>0</v>
      </c>
      <c r="G35" s="214">
        <v>0</v>
      </c>
      <c r="H35" s="187">
        <f t="shared" si="3"/>
        <v>0</v>
      </c>
      <c r="I35" s="188">
        <f t="shared" si="4"/>
        <v>0</v>
      </c>
      <c r="J35" s="7"/>
      <c r="K35" s="7"/>
      <c r="L35" s="7"/>
      <c r="M35" s="8"/>
      <c r="N35" s="26" t="s">
        <v>56</v>
      </c>
      <c r="O35" s="67"/>
      <c r="P35" s="63"/>
      <c r="Q35" s="68"/>
      <c r="R35" s="29">
        <f>'[2]Individuel'!$D$61</f>
        <v>0.6703402518874818</v>
      </c>
      <c r="U35" s="161"/>
      <c r="W35" s="49" t="s">
        <v>132</v>
      </c>
      <c r="X35" s="268">
        <v>5</v>
      </c>
      <c r="Y35" s="269"/>
      <c r="Z35" s="259"/>
      <c r="AA35" s="260"/>
      <c r="AB35" s="157">
        <f>X35+Z35</f>
        <v>5</v>
      </c>
    </row>
    <row r="36" spans="2:21" ht="15" customHeight="1" thickBot="1">
      <c r="B36" s="189">
        <f>'[1]POOL-joueus'!$B$289</f>
        <v>25.254794520547946</v>
      </c>
      <c r="C36" s="189" t="str">
        <f>'[1]POOL-joueus'!$C$289</f>
        <v>Ana</v>
      </c>
      <c r="D36" s="190" t="str">
        <f>'[1]POOL-joueus'!$D$289</f>
        <v>Erik Christensen</v>
      </c>
      <c r="E36" s="204">
        <v>1</v>
      </c>
      <c r="F36" s="204">
        <v>0</v>
      </c>
      <c r="G36" s="204">
        <v>0</v>
      </c>
      <c r="H36" s="211">
        <f t="shared" si="3"/>
        <v>0</v>
      </c>
      <c r="I36" s="232">
        <f t="shared" si="4"/>
        <v>0</v>
      </c>
      <c r="J36" s="7"/>
      <c r="K36" s="7"/>
      <c r="L36" s="7"/>
      <c r="M36" s="8"/>
      <c r="N36" s="26" t="s">
        <v>57</v>
      </c>
      <c r="O36" s="27">
        <f>E18+E69</f>
        <v>115</v>
      </c>
      <c r="P36" s="28">
        <f>F18+F69</f>
        <v>54</v>
      </c>
      <c r="Q36" s="29">
        <f>P36/O36</f>
        <v>0.46956521739130436</v>
      </c>
      <c r="R36" s="28">
        <f>'[2]Individuel'!$D$75</f>
        <v>59.9</v>
      </c>
      <c r="U36" s="161"/>
    </row>
    <row r="37" spans="2:31" ht="15" customHeight="1">
      <c r="B37" s="274" t="s">
        <v>26</v>
      </c>
      <c r="C37" s="275"/>
      <c r="D37" s="255"/>
      <c r="E37" s="14">
        <f>SUM(E22:E36)</f>
        <v>535</v>
      </c>
      <c r="F37" s="14">
        <f>SUM(F22:F36)</f>
        <v>214</v>
      </c>
      <c r="G37" s="14">
        <f>SUM(G22:G36)</f>
        <v>225</v>
      </c>
      <c r="H37" s="33">
        <f t="shared" si="3"/>
        <v>439</v>
      </c>
      <c r="I37" s="50">
        <f t="shared" si="4"/>
        <v>0.8205607476635514</v>
      </c>
      <c r="J37" s="7"/>
      <c r="K37" s="7"/>
      <c r="L37" s="7"/>
      <c r="M37" s="8"/>
      <c r="N37" s="34" t="s">
        <v>58</v>
      </c>
      <c r="O37" s="27">
        <f>E18+E69</f>
        <v>115</v>
      </c>
      <c r="P37" s="28">
        <f>H18+H69</f>
        <v>9</v>
      </c>
      <c r="Q37" s="29">
        <f>P37/O37</f>
        <v>0.0782608695652174</v>
      </c>
      <c r="R37" s="28">
        <f>'[2]Individuel'!$I$75</f>
        <v>7.1</v>
      </c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</row>
    <row r="38" spans="2:21" ht="15" customHeight="1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8"/>
      <c r="N38" s="26" t="s">
        <v>59</v>
      </c>
      <c r="O38" s="27">
        <f>E18+E69</f>
        <v>115</v>
      </c>
      <c r="P38" s="28">
        <f>G18+G69</f>
        <v>8</v>
      </c>
      <c r="Q38" s="29">
        <f>P38/O38</f>
        <v>0.06956521739130435</v>
      </c>
      <c r="R38" s="28">
        <f>'[2]Individuel'!$N$75</f>
        <v>13.6</v>
      </c>
      <c r="U38" s="161"/>
    </row>
    <row r="39" spans="2:21" ht="15" customHeight="1" thickBot="1">
      <c r="B39" s="256" t="s">
        <v>24</v>
      </c>
      <c r="C39" s="257"/>
      <c r="D39" s="257"/>
      <c r="E39" s="257"/>
      <c r="F39" s="257"/>
      <c r="G39" s="257"/>
      <c r="H39" s="257"/>
      <c r="I39" s="258"/>
      <c r="J39" s="7"/>
      <c r="K39" s="7"/>
      <c r="L39" s="7"/>
      <c r="M39" s="8"/>
      <c r="N39" s="26" t="s">
        <v>38</v>
      </c>
      <c r="O39" s="70">
        <f>(B15+B17+B22+B23+B24+B25+B26+B27+B33+B36+B41+B42+B43+B44+B52+B53+B54+B55+B59+B62+B76+B73+B91+B99+B100+B102+B114+B116+B118+B120+B126+B127+B133+B129+B139+B144+B148+B145+B149)/39</f>
        <v>25.389954337899546</v>
      </c>
      <c r="P39" s="61"/>
      <c r="Q39" s="62"/>
      <c r="R39" s="63"/>
      <c r="U39" s="161"/>
    </row>
    <row r="40" spans="2:30" ht="15" customHeight="1" thickBot="1">
      <c r="B40" s="30" t="s">
        <v>15</v>
      </c>
      <c r="C40" s="30" t="s">
        <v>29</v>
      </c>
      <c r="D40" s="30" t="s">
        <v>17</v>
      </c>
      <c r="E40" s="31" t="s">
        <v>2</v>
      </c>
      <c r="F40" s="31" t="s">
        <v>21</v>
      </c>
      <c r="G40" s="31" t="s">
        <v>30</v>
      </c>
      <c r="H40" s="32" t="s">
        <v>6</v>
      </c>
      <c r="I40" s="31" t="s">
        <v>11</v>
      </c>
      <c r="J40" s="7"/>
      <c r="K40" s="7"/>
      <c r="L40" s="7"/>
      <c r="M40" s="8"/>
      <c r="N40" s="34" t="s">
        <v>39</v>
      </c>
      <c r="O40" s="70"/>
      <c r="P40" s="61"/>
      <c r="Q40" s="62"/>
      <c r="R40" s="63"/>
      <c r="U40" s="161"/>
      <c r="W40" s="265" t="s">
        <v>162</v>
      </c>
      <c r="X40" s="266"/>
      <c r="Y40" s="266"/>
      <c r="Z40" s="266"/>
      <c r="AA40" s="266"/>
      <c r="AB40" s="266"/>
      <c r="AC40" s="266"/>
      <c r="AD40" s="267"/>
    </row>
    <row r="41" spans="2:30" ht="15" customHeight="1" thickBot="1" thickTop="1">
      <c r="B41" s="107">
        <f>'[1]POOL-joueus'!$B$98</f>
        <v>24.21095890410959</v>
      </c>
      <c r="C41" s="107" t="str">
        <f>'[1]POOL-joueus'!$C$98</f>
        <v>Phi</v>
      </c>
      <c r="D41" s="124" t="str">
        <f>'[1]POOL-joueus'!$D$98</f>
        <v>Jeff Carter</v>
      </c>
      <c r="E41" s="107">
        <f>'[1]POOL-joueus'!$E$98</f>
        <v>65</v>
      </c>
      <c r="F41" s="107">
        <f>'[1]POOL-joueus'!$F$98</f>
        <v>38</v>
      </c>
      <c r="G41" s="107">
        <f>'[1]POOL-joueus'!$G$98</f>
        <v>30</v>
      </c>
      <c r="H41" s="44">
        <f aca="true" t="shared" si="6" ref="H41:H48">SUM(F41:G41)</f>
        <v>68</v>
      </c>
      <c r="I41" s="45">
        <f aca="true" t="shared" si="7" ref="I41:I48">H41/E41</f>
        <v>1.0461538461538462</v>
      </c>
      <c r="J41" s="145"/>
      <c r="K41" s="7"/>
      <c r="L41" s="7"/>
      <c r="M41" s="8"/>
      <c r="N41" s="26" t="s">
        <v>40</v>
      </c>
      <c r="O41" s="70">
        <f>(B16+B17+B22+B25+B26+B27+B28+B29+B30+B33+B41+B42+B43+B47+B52+B53+B55+B56+B59+B60+B72+B75)/22</f>
        <v>25.730386052303857</v>
      </c>
      <c r="P41" s="59"/>
      <c r="Q41" s="60"/>
      <c r="R41" s="125" t="e">
        <f>'[2]Individuel'!$N$61</f>
        <v>#REF!</v>
      </c>
      <c r="U41" s="161"/>
      <c r="W41" s="65" t="s">
        <v>8</v>
      </c>
      <c r="X41" s="66" t="s">
        <v>9</v>
      </c>
      <c r="Y41" s="66" t="s">
        <v>10</v>
      </c>
      <c r="Z41" s="66"/>
      <c r="AA41" s="66"/>
      <c r="AB41" s="65" t="s">
        <v>11</v>
      </c>
      <c r="AC41" s="65" t="s">
        <v>68</v>
      </c>
      <c r="AD41" s="65" t="s">
        <v>41</v>
      </c>
    </row>
    <row r="42" spans="2:30" ht="15" customHeight="1" thickBot="1" thickTop="1">
      <c r="B42" s="107">
        <f>'[1]POOL-joueus'!$B$46</f>
        <v>21.317808219178083</v>
      </c>
      <c r="C42" s="107" t="str">
        <f>'[1]POOL-joueus'!$C$46</f>
        <v>Wsh</v>
      </c>
      <c r="D42" s="124" t="str">
        <f>'[1]POOL-joueus'!$D$46</f>
        <v>Nicklas Backstrom</v>
      </c>
      <c r="E42" s="107">
        <f>'[1]POOL-joueus'!$E$46</f>
        <v>68</v>
      </c>
      <c r="F42" s="107">
        <f>'[1]POOL-joueus'!$F$46</f>
        <v>18</v>
      </c>
      <c r="G42" s="107">
        <f>'[1]POOL-joueus'!$G$46</f>
        <v>53</v>
      </c>
      <c r="H42" s="44">
        <f t="shared" si="6"/>
        <v>71</v>
      </c>
      <c r="I42" s="45">
        <f t="shared" si="7"/>
        <v>1.0441176470588236</v>
      </c>
      <c r="J42" s="7"/>
      <c r="K42" s="7"/>
      <c r="L42" s="7"/>
      <c r="M42" s="8"/>
      <c r="U42" s="161"/>
      <c r="W42" s="48" t="s">
        <v>42</v>
      </c>
      <c r="X42" s="21">
        <v>248</v>
      </c>
      <c r="Y42" s="22">
        <v>200</v>
      </c>
      <c r="Z42" s="22"/>
      <c r="AA42" s="22"/>
      <c r="AB42" s="23">
        <v>0.8064516129032258</v>
      </c>
      <c r="AC42" s="22">
        <v>191.9</v>
      </c>
      <c r="AD42" s="22" t="s">
        <v>148</v>
      </c>
    </row>
    <row r="43" spans="2:30" ht="15" customHeight="1">
      <c r="B43" s="189">
        <f>'[1]POOL-joueus'!$B$37</f>
        <v>23.224657534246575</v>
      </c>
      <c r="C43" s="189" t="str">
        <f>'[1]POOL-joueus'!$C$37</f>
        <v>Col</v>
      </c>
      <c r="D43" s="190" t="str">
        <f>'[1]POOL-joueus'!$D$37</f>
        <v>Paul Stastny</v>
      </c>
      <c r="E43" s="189">
        <v>34</v>
      </c>
      <c r="F43" s="189">
        <v>10</v>
      </c>
      <c r="G43" s="189">
        <v>21</v>
      </c>
      <c r="H43" s="187">
        <f t="shared" si="6"/>
        <v>31</v>
      </c>
      <c r="I43" s="188">
        <f t="shared" si="7"/>
        <v>0.9117647058823529</v>
      </c>
      <c r="J43" s="7"/>
      <c r="K43" s="7"/>
      <c r="L43" s="7"/>
      <c r="M43" s="8"/>
      <c r="N43" s="265" t="s">
        <v>61</v>
      </c>
      <c r="O43" s="266"/>
      <c r="P43" s="266"/>
      <c r="Q43" s="266"/>
      <c r="R43" s="266"/>
      <c r="S43" s="267"/>
      <c r="T43" s="53"/>
      <c r="U43" s="161"/>
      <c r="W43" s="49" t="s">
        <v>43</v>
      </c>
      <c r="X43" s="21">
        <v>286</v>
      </c>
      <c r="Y43" s="22">
        <v>199</v>
      </c>
      <c r="Z43" s="22"/>
      <c r="AA43" s="22"/>
      <c r="AB43" s="23">
        <v>0.6958041958041958</v>
      </c>
      <c r="AC43" s="22">
        <v>207.1</v>
      </c>
      <c r="AD43" s="28" t="s">
        <v>151</v>
      </c>
    </row>
    <row r="44" spans="2:30" ht="15" customHeight="1" thickBot="1">
      <c r="B44" s="183">
        <f>'[1]POOL-joueus'!$B$349</f>
        <v>21.34794520547945</v>
      </c>
      <c r="C44" s="183" t="str">
        <f>'[1]POOL-joueus'!$C$349</f>
        <v>Atl</v>
      </c>
      <c r="D44" s="184" t="str">
        <f>'[1]POOL-joueus'!$D$349</f>
        <v>Bryan Little</v>
      </c>
      <c r="E44" s="183">
        <v>42</v>
      </c>
      <c r="F44" s="183">
        <v>16</v>
      </c>
      <c r="G44" s="183">
        <v>11</v>
      </c>
      <c r="H44" s="187">
        <f t="shared" si="6"/>
        <v>27</v>
      </c>
      <c r="I44" s="188">
        <f t="shared" si="7"/>
        <v>0.6428571428571429</v>
      </c>
      <c r="K44" s="7"/>
      <c r="L44" s="7"/>
      <c r="M44" s="8"/>
      <c r="N44" s="65" t="s">
        <v>8</v>
      </c>
      <c r="O44" s="66" t="s">
        <v>9</v>
      </c>
      <c r="P44" s="66" t="s">
        <v>10</v>
      </c>
      <c r="Q44" s="65" t="s">
        <v>11</v>
      </c>
      <c r="R44" s="65" t="s">
        <v>68</v>
      </c>
      <c r="S44" s="65" t="s">
        <v>41</v>
      </c>
      <c r="T44" s="164"/>
      <c r="U44" s="161"/>
      <c r="W44" s="49" t="s">
        <v>44</v>
      </c>
      <c r="X44" s="21">
        <v>291</v>
      </c>
      <c r="Y44" s="22">
        <v>212</v>
      </c>
      <c r="Z44" s="22"/>
      <c r="AA44" s="22"/>
      <c r="AB44" s="23">
        <v>0.7285223367697594</v>
      </c>
      <c r="AC44" s="22">
        <v>226.7</v>
      </c>
      <c r="AD44" s="28" t="s">
        <v>152</v>
      </c>
    </row>
    <row r="45" spans="2:30" ht="15" customHeight="1" thickTop="1">
      <c r="B45" s="185">
        <f>'[1]POOL-joueus'!$B$784</f>
        <v>22.786301369863015</v>
      </c>
      <c r="C45" s="185" t="str">
        <f>'[1]POOL-joueus'!$C$784</f>
        <v>Chi</v>
      </c>
      <c r="D45" s="186" t="str">
        <f>'[1]POOL-joueus'!$D$784</f>
        <v>David Bolland</v>
      </c>
      <c r="E45" s="185">
        <v>5</v>
      </c>
      <c r="F45" s="185">
        <v>1</v>
      </c>
      <c r="G45" s="185">
        <v>2</v>
      </c>
      <c r="H45" s="187">
        <f>SUM(F45:G45)</f>
        <v>3</v>
      </c>
      <c r="I45" s="188">
        <f>H45/E45</f>
        <v>0.6</v>
      </c>
      <c r="J45" s="142"/>
      <c r="K45" s="7"/>
      <c r="L45" s="7"/>
      <c r="M45" s="8"/>
      <c r="N45" s="48" t="s">
        <v>233</v>
      </c>
      <c r="O45" s="21">
        <v>204</v>
      </c>
      <c r="P45" s="22">
        <v>161</v>
      </c>
      <c r="Q45" s="23">
        <f>P45/O45</f>
        <v>0.7892156862745098</v>
      </c>
      <c r="R45" s="22">
        <v>169.2</v>
      </c>
      <c r="S45" s="22" t="s">
        <v>152</v>
      </c>
      <c r="T45" s="53"/>
      <c r="U45" s="161"/>
      <c r="W45" s="49" t="s">
        <v>45</v>
      </c>
      <c r="X45" s="21">
        <v>293</v>
      </c>
      <c r="Y45" s="22">
        <v>199</v>
      </c>
      <c r="Z45" s="22"/>
      <c r="AA45" s="22"/>
      <c r="AB45" s="23">
        <v>0.6791808873720137</v>
      </c>
      <c r="AC45" s="22">
        <v>201.4</v>
      </c>
      <c r="AD45" s="28" t="s">
        <v>150</v>
      </c>
    </row>
    <row r="46" spans="2:30" ht="15" customHeight="1">
      <c r="B46" s="106">
        <f>'[1]POOL-joueus'!$B$153</f>
        <v>27.86849315068493</v>
      </c>
      <c r="C46" s="106" t="str">
        <f>'[1]POOL-joueus'!$C$153</f>
        <v>Buf</v>
      </c>
      <c r="D46" s="126" t="str">
        <f>'[1]POOL-joueus'!$D$153</f>
        <v>Tim Connolly</v>
      </c>
      <c r="E46" s="106">
        <f>('[1]POOL-joueus'!$E$153)-17</f>
        <v>16</v>
      </c>
      <c r="F46" s="106">
        <f>('[1]POOL-joueus'!$F$153)-9</f>
        <v>4</v>
      </c>
      <c r="G46" s="106">
        <f>('[1]POOL-joueus'!$G$153)-7</f>
        <v>12</v>
      </c>
      <c r="H46" s="44">
        <f>SUM(F46:G46)</f>
        <v>16</v>
      </c>
      <c r="I46" s="45">
        <f>H46/E46</f>
        <v>1</v>
      </c>
      <c r="J46" s="142"/>
      <c r="K46" s="7"/>
      <c r="L46" s="7"/>
      <c r="M46" s="8"/>
      <c r="N46" s="49" t="s">
        <v>175</v>
      </c>
      <c r="O46" s="21">
        <v>289</v>
      </c>
      <c r="P46" s="22">
        <v>200</v>
      </c>
      <c r="Q46" s="23">
        <f>P46/O46</f>
        <v>0.6920415224913494</v>
      </c>
      <c r="R46" s="22">
        <v>220.7</v>
      </c>
      <c r="S46" s="28" t="s">
        <v>152</v>
      </c>
      <c r="T46" s="53"/>
      <c r="U46" s="161"/>
      <c r="W46" s="49" t="s">
        <v>46</v>
      </c>
      <c r="X46" s="21">
        <v>289</v>
      </c>
      <c r="Y46" s="22">
        <v>206</v>
      </c>
      <c r="Z46" s="22"/>
      <c r="AA46" s="22"/>
      <c r="AB46" s="23">
        <v>0.71280276816609</v>
      </c>
      <c r="AC46" s="22">
        <v>207.9</v>
      </c>
      <c r="AD46" s="28" t="s">
        <v>150</v>
      </c>
    </row>
    <row r="47" spans="2:30" ht="15" customHeight="1" thickBot="1">
      <c r="B47" s="107">
        <f>'[1]POOL-joueus'!$B$256</f>
        <v>22.567123287671233</v>
      </c>
      <c r="C47" s="107" t="str">
        <f>'[1]POOL-joueus'!$C$256</f>
        <v>Bos</v>
      </c>
      <c r="D47" s="124" t="str">
        <f>'[1]POOL-joueus'!$D$256</f>
        <v>David Krejci</v>
      </c>
      <c r="E47" s="123">
        <f>(('[1]POOL-joueus'!$E$256)-25)-5</f>
        <v>39</v>
      </c>
      <c r="F47" s="123">
        <f>(('[1]POOL-joueus'!$F$256)-8)-0</f>
        <v>13</v>
      </c>
      <c r="G47" s="123">
        <f>(('[1]POOL-joueus'!$G$256)-12)-9</f>
        <v>20</v>
      </c>
      <c r="H47" s="120">
        <f t="shared" si="6"/>
        <v>33</v>
      </c>
      <c r="I47" s="242">
        <f t="shared" si="7"/>
        <v>0.8461538461538461</v>
      </c>
      <c r="J47" s="7"/>
      <c r="K47" s="7"/>
      <c r="L47" s="7"/>
      <c r="M47" s="8"/>
      <c r="N47" s="49" t="s">
        <v>176</v>
      </c>
      <c r="O47" s="21">
        <v>313</v>
      </c>
      <c r="P47" s="22">
        <v>289</v>
      </c>
      <c r="Q47" s="23">
        <f>P47/O47</f>
        <v>0.9233226837060703</v>
      </c>
      <c r="R47" s="22">
        <v>236.9</v>
      </c>
      <c r="S47" s="28" t="s">
        <v>95</v>
      </c>
      <c r="T47" s="53"/>
      <c r="U47" s="161"/>
      <c r="W47" s="49" t="s">
        <v>47</v>
      </c>
      <c r="X47" s="21">
        <v>310</v>
      </c>
      <c r="Y47" s="22">
        <v>250</v>
      </c>
      <c r="Z47" s="22"/>
      <c r="AA47" s="22"/>
      <c r="AB47" s="23">
        <v>0.8064516129032258</v>
      </c>
      <c r="AC47" s="22">
        <v>223.7</v>
      </c>
      <c r="AD47" s="28" t="s">
        <v>147</v>
      </c>
    </row>
    <row r="48" spans="2:30" ht="15" customHeight="1">
      <c r="B48" s="274" t="s">
        <v>26</v>
      </c>
      <c r="C48" s="275"/>
      <c r="D48" s="255"/>
      <c r="E48" s="14">
        <f>SUM(E41:E47)</f>
        <v>269</v>
      </c>
      <c r="F48" s="14">
        <f>SUM(F41:F47)</f>
        <v>100</v>
      </c>
      <c r="G48" s="14">
        <f>SUM(G41:G47)</f>
        <v>149</v>
      </c>
      <c r="H48" s="33">
        <f t="shared" si="6"/>
        <v>249</v>
      </c>
      <c r="I48" s="50">
        <f t="shared" si="7"/>
        <v>0.9256505576208178</v>
      </c>
      <c r="J48" s="7"/>
      <c r="K48" s="7"/>
      <c r="L48" s="7"/>
      <c r="M48" s="8"/>
      <c r="N48" s="49" t="s">
        <v>177</v>
      </c>
      <c r="O48" s="21">
        <v>283</v>
      </c>
      <c r="P48" s="22">
        <v>215</v>
      </c>
      <c r="Q48" s="23">
        <f>P48/O48</f>
        <v>0.7597173144876325</v>
      </c>
      <c r="R48" s="241">
        <v>209</v>
      </c>
      <c r="S48" s="28" t="s">
        <v>148</v>
      </c>
      <c r="T48" s="53"/>
      <c r="U48" s="161"/>
      <c r="W48" s="49" t="s">
        <v>48</v>
      </c>
      <c r="X48" s="21">
        <v>56</v>
      </c>
      <c r="Y48" s="22">
        <v>47</v>
      </c>
      <c r="Z48" s="22"/>
      <c r="AA48" s="22"/>
      <c r="AB48" s="23">
        <v>0.8392857142857143</v>
      </c>
      <c r="AC48" s="22">
        <v>42.1</v>
      </c>
      <c r="AD48" s="28" t="s">
        <v>147</v>
      </c>
    </row>
    <row r="49" spans="2:21" ht="1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8"/>
      <c r="N49" s="49" t="s">
        <v>178</v>
      </c>
      <c r="O49" s="21"/>
      <c r="P49" s="22"/>
      <c r="Q49" s="23"/>
      <c r="R49" s="22"/>
      <c r="S49" s="28"/>
      <c r="T49" s="53"/>
      <c r="U49" s="161"/>
    </row>
    <row r="50" spans="2:21" ht="15" customHeight="1" thickBot="1">
      <c r="B50" s="256" t="s">
        <v>25</v>
      </c>
      <c r="C50" s="257"/>
      <c r="D50" s="257"/>
      <c r="E50" s="257"/>
      <c r="F50" s="257"/>
      <c r="G50" s="257"/>
      <c r="H50" s="257"/>
      <c r="I50" s="258"/>
      <c r="J50" s="7"/>
      <c r="K50" s="7"/>
      <c r="L50" s="7"/>
      <c r="M50" s="8"/>
      <c r="N50" s="49" t="s">
        <v>180</v>
      </c>
      <c r="O50" s="21"/>
      <c r="P50" s="22"/>
      <c r="Q50" s="23"/>
      <c r="R50" s="22"/>
      <c r="S50" s="28"/>
      <c r="T50" s="53"/>
      <c r="U50" s="161"/>
    </row>
    <row r="51" spans="2:21" ht="15" customHeight="1" thickBot="1">
      <c r="B51" s="30" t="s">
        <v>15</v>
      </c>
      <c r="C51" s="30" t="s">
        <v>29</v>
      </c>
      <c r="D51" s="30" t="s">
        <v>17</v>
      </c>
      <c r="E51" s="31" t="s">
        <v>2</v>
      </c>
      <c r="F51" s="31" t="s">
        <v>21</v>
      </c>
      <c r="G51" s="31" t="s">
        <v>30</v>
      </c>
      <c r="H51" s="32" t="s">
        <v>6</v>
      </c>
      <c r="I51" s="31" t="s">
        <v>11</v>
      </c>
      <c r="J51" s="7"/>
      <c r="K51" s="7"/>
      <c r="L51" s="7"/>
      <c r="M51" s="8"/>
      <c r="N51" s="49" t="s">
        <v>179</v>
      </c>
      <c r="O51" s="21"/>
      <c r="P51" s="22"/>
      <c r="Q51" s="23"/>
      <c r="R51" s="22"/>
      <c r="S51" s="28"/>
      <c r="T51" s="53"/>
      <c r="U51" s="161"/>
    </row>
    <row r="52" spans="2:21" ht="15" customHeight="1" thickTop="1">
      <c r="B52" s="109">
        <f>'[1]POOL-joueus'!$B$279</f>
        <v>35.556164383561644</v>
      </c>
      <c r="C52" s="109" t="str">
        <f>'[1]POOL-joueus'!$C$279</f>
        <v>Ana</v>
      </c>
      <c r="D52" s="111" t="str">
        <f>'[1]POOL-joueus'!$D$279</f>
        <v>Scott Niedermayer</v>
      </c>
      <c r="E52" s="109">
        <f>'[1]POOL-joueus'!$E$279</f>
        <v>68</v>
      </c>
      <c r="F52" s="109">
        <f>'[1]POOL-joueus'!$F$279</f>
        <v>11</v>
      </c>
      <c r="G52" s="109">
        <f>'[1]POOL-joueus'!$G$279</f>
        <v>34</v>
      </c>
      <c r="H52" s="44">
        <f aca="true" t="shared" si="8" ref="H52:H64">SUM(F52:G52)</f>
        <v>45</v>
      </c>
      <c r="I52" s="45">
        <f aca="true" t="shared" si="9" ref="I52:I64">H52/E52</f>
        <v>0.6617647058823529</v>
      </c>
      <c r="J52" s="7"/>
      <c r="K52" s="7"/>
      <c r="L52" s="7"/>
      <c r="M52" s="8"/>
      <c r="U52" s="161"/>
    </row>
    <row r="53" spans="2:31" ht="15" customHeight="1">
      <c r="B53" s="106">
        <f>'[1]POOL-joueus'!$B$128</f>
        <v>34.010958904109586</v>
      </c>
      <c r="C53" s="106" t="str">
        <f>'[1]POOL-joueus'!$C$128</f>
        <v>Phi</v>
      </c>
      <c r="D53" s="126" t="str">
        <f>'[1]POOL-joueus'!$D$128</f>
        <v>Kimmo Timonen</v>
      </c>
      <c r="E53" s="106">
        <f>('[1]POOL-joueus'!$E$128)-2</f>
        <v>58</v>
      </c>
      <c r="F53" s="106">
        <f>('[1]POOL-joueus'!$F$128)</f>
        <v>3</v>
      </c>
      <c r="G53" s="106">
        <f>('[1]POOL-joueus'!$G$128)</f>
        <v>30</v>
      </c>
      <c r="H53" s="44">
        <f t="shared" si="8"/>
        <v>33</v>
      </c>
      <c r="I53" s="45">
        <f t="shared" si="9"/>
        <v>0.5689655172413793</v>
      </c>
      <c r="J53" s="7"/>
      <c r="K53" s="7"/>
      <c r="L53" s="7"/>
      <c r="M53" s="8"/>
      <c r="N53" s="1" t="s">
        <v>69</v>
      </c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</row>
    <row r="54" spans="2:21" ht="15" customHeight="1">
      <c r="B54" s="183">
        <f>'[1]POOL-joueus'!$B$134</f>
        <v>24.027397260273972</v>
      </c>
      <c r="C54" s="183" t="str">
        <f>'[1]POOL-joueus'!$C$134</f>
        <v>Min</v>
      </c>
      <c r="D54" s="184" t="str">
        <f>'[1]POOL-joueus'!$D$134</f>
        <v>Brent Burns</v>
      </c>
      <c r="E54" s="183">
        <v>57</v>
      </c>
      <c r="F54" s="183">
        <v>7</v>
      </c>
      <c r="G54" s="183">
        <v>18</v>
      </c>
      <c r="H54" s="187">
        <f t="shared" si="8"/>
        <v>25</v>
      </c>
      <c r="I54" s="188">
        <f t="shared" si="9"/>
        <v>0.43859649122807015</v>
      </c>
      <c r="J54" s="7"/>
      <c r="K54" s="7"/>
      <c r="L54" s="7"/>
      <c r="M54" s="8"/>
      <c r="N54" s="1" t="s">
        <v>67</v>
      </c>
      <c r="U54" s="161"/>
    </row>
    <row r="55" spans="2:21" ht="15" customHeight="1">
      <c r="B55" s="109">
        <f>'[1]POOL-joueus'!$B$796</f>
        <v>23.6</v>
      </c>
      <c r="C55" s="28" t="str">
        <f>'[1]POOL-joueus'!$C$796</f>
        <v>L.A.</v>
      </c>
      <c r="D55" s="47" t="str">
        <f>'[1]POOL-joueus'!$D$796</f>
        <v>Kyle Quincey</v>
      </c>
      <c r="E55" s="28">
        <f>(('[1]POOL-joueus'!$E$796)-8)-8</f>
        <v>47</v>
      </c>
      <c r="F55" s="28">
        <f>(('[1]POOL-joueus'!$F$796)-1)-1</f>
        <v>2</v>
      </c>
      <c r="G55" s="28">
        <f>(('[1]POOL-joueus'!$G$796)-4)-4</f>
        <v>26</v>
      </c>
      <c r="H55" s="44">
        <f t="shared" si="8"/>
        <v>28</v>
      </c>
      <c r="I55" s="45">
        <f t="shared" si="9"/>
        <v>0.5957446808510638</v>
      </c>
      <c r="J55" s="7"/>
      <c r="K55" s="7"/>
      <c r="L55" s="7"/>
      <c r="M55" s="2"/>
      <c r="U55" s="161"/>
    </row>
    <row r="56" spans="2:31" ht="15" customHeight="1">
      <c r="B56" s="183">
        <f>'[1]POOL-joueus'!$B$185</f>
        <v>23.97808219178082</v>
      </c>
      <c r="C56" s="183" t="str">
        <f>'[1]POOL-joueus'!$C$185</f>
        <v>Chi</v>
      </c>
      <c r="D56" s="184" t="str">
        <f>'[1]POOL-joueus'!$D$185</f>
        <v>Dustin Byfuglien</v>
      </c>
      <c r="E56" s="183">
        <v>41</v>
      </c>
      <c r="F56" s="183">
        <v>6</v>
      </c>
      <c r="G56" s="183">
        <v>9</v>
      </c>
      <c r="H56" s="187">
        <f t="shared" si="8"/>
        <v>15</v>
      </c>
      <c r="I56" s="188">
        <f t="shared" si="9"/>
        <v>0.36585365853658536</v>
      </c>
      <c r="J56" s="7"/>
      <c r="K56" s="7"/>
      <c r="L56" s="7"/>
      <c r="M56" s="2"/>
      <c r="U56" s="161"/>
      <c r="W56" s="250" t="s">
        <v>119</v>
      </c>
      <c r="X56" s="250"/>
      <c r="Y56" s="250"/>
      <c r="Z56" s="250"/>
      <c r="AA56" s="250"/>
      <c r="AB56" s="250"/>
      <c r="AC56" s="250"/>
      <c r="AD56" s="250"/>
      <c r="AE56" s="250"/>
    </row>
    <row r="57" spans="2:21" ht="15" customHeight="1">
      <c r="B57" s="107">
        <f>'[1]POOL-joueus'!$B$50</f>
        <v>34.93972602739726</v>
      </c>
      <c r="C57" s="107" t="str">
        <f>'[1]POOL-joueus'!$C$50</f>
        <v>Pit</v>
      </c>
      <c r="D57" s="124" t="str">
        <f>'[1]POOL-joueus'!$D$50</f>
        <v>Sergei Gonchar</v>
      </c>
      <c r="E57" s="107">
        <f>'[1]POOL-joueus'!$E$50</f>
        <v>12</v>
      </c>
      <c r="F57" s="107">
        <f>'[1]POOL-joueus'!$F$50</f>
        <v>3</v>
      </c>
      <c r="G57" s="107">
        <f>'[1]POOL-joueus'!$G$50</f>
        <v>5</v>
      </c>
      <c r="H57" s="44">
        <f t="shared" si="8"/>
        <v>8</v>
      </c>
      <c r="I57" s="45">
        <f t="shared" si="9"/>
        <v>0.6666666666666666</v>
      </c>
      <c r="J57" s="7"/>
      <c r="K57" s="7"/>
      <c r="L57" s="7"/>
      <c r="M57" s="2"/>
      <c r="U57" s="161"/>
    </row>
    <row r="58" spans="2:31" ht="15" customHeight="1">
      <c r="B58" s="107">
        <f>'[1]POOL-joueus'!$B$373</f>
        <v>21.96986301369863</v>
      </c>
      <c r="C58" s="107" t="str">
        <f>'[1]POOL-joueus'!$C$373</f>
        <v>S.J.</v>
      </c>
      <c r="D58" s="169" t="str">
        <f>'[1]POOL-joueus'!$D$373</f>
        <v>Marc-Édouard Vlasic</v>
      </c>
      <c r="E58" s="245">
        <f>(('[1]POOL-joueus'!$E$373)-7)-17</f>
        <v>42</v>
      </c>
      <c r="F58" s="245">
        <f>(('[1]POOL-joueus'!$F$373)-1)-2</f>
        <v>2</v>
      </c>
      <c r="G58" s="245">
        <f>(('[1]POOL-joueus'!$G$373)-5)-10</f>
        <v>11</v>
      </c>
      <c r="H58" s="44">
        <f t="shared" si="8"/>
        <v>13</v>
      </c>
      <c r="I58" s="45">
        <f t="shared" si="9"/>
        <v>0.30952380952380953</v>
      </c>
      <c r="J58" s="7"/>
      <c r="K58" s="7"/>
      <c r="L58" s="7"/>
      <c r="M58" s="2"/>
      <c r="U58" s="161"/>
      <c r="W58" s="259" t="s">
        <v>91</v>
      </c>
      <c r="X58" s="261"/>
      <c r="Y58" s="260"/>
      <c r="Z58" s="53"/>
      <c r="AA58" s="53"/>
      <c r="AC58" s="259" t="s">
        <v>91</v>
      </c>
      <c r="AD58" s="261"/>
      <c r="AE58" s="260"/>
    </row>
    <row r="59" spans="2:31" ht="15" customHeight="1">
      <c r="B59" s="108">
        <f>'[1]POOL-joueus'!$B$342</f>
        <v>21.9013698630137</v>
      </c>
      <c r="C59" s="108" t="str">
        <f>'[1]POOL-joueus'!$C$342</f>
        <v>Pit</v>
      </c>
      <c r="D59" s="110" t="str">
        <f>'[1]POOL-joueus'!$D$342</f>
        <v>Kristopher Letang</v>
      </c>
      <c r="E59" s="109">
        <f>('[1]POOL-joueus'!$E$342)-29</f>
        <v>32</v>
      </c>
      <c r="F59" s="109">
        <f>('[1]POOL-joueus'!$F$342)-6</f>
        <v>1</v>
      </c>
      <c r="G59" s="109">
        <f>('[1]POOL-joueus'!$G$342)-5</f>
        <v>12</v>
      </c>
      <c r="H59" s="44">
        <f t="shared" si="8"/>
        <v>13</v>
      </c>
      <c r="I59" s="45">
        <f t="shared" si="9"/>
        <v>0.40625</v>
      </c>
      <c r="J59" s="7"/>
      <c r="K59" s="7"/>
      <c r="L59" s="7"/>
      <c r="M59" s="2"/>
      <c r="U59" s="161"/>
      <c r="W59" s="47" t="s">
        <v>90</v>
      </c>
      <c r="X59" s="47" t="s">
        <v>92</v>
      </c>
      <c r="Y59" s="47" t="s">
        <v>3</v>
      </c>
      <c r="Z59" s="128"/>
      <c r="AA59" s="128"/>
      <c r="AC59" s="47" t="s">
        <v>105</v>
      </c>
      <c r="AD59" s="47" t="s">
        <v>92</v>
      </c>
      <c r="AE59" s="47" t="s">
        <v>3</v>
      </c>
    </row>
    <row r="60" spans="1:31" ht="15" customHeight="1">
      <c r="A60" s="1" t="s">
        <v>237</v>
      </c>
      <c r="B60" s="185">
        <f>'[1]POOL-joueus'!$B$803</f>
        <v>23.827397260273973</v>
      </c>
      <c r="C60" s="185" t="str">
        <f>'[1]POOL-joueus'!$C$803</f>
        <v>Bos</v>
      </c>
      <c r="D60" s="186" t="str">
        <f>'[1]POOL-joueus'!$D$803</f>
        <v>Matt Hunwick</v>
      </c>
      <c r="E60" s="185">
        <v>3</v>
      </c>
      <c r="F60" s="185">
        <v>0</v>
      </c>
      <c r="G60" s="185">
        <v>0</v>
      </c>
      <c r="H60" s="187">
        <f t="shared" si="8"/>
        <v>0</v>
      </c>
      <c r="I60" s="188">
        <f t="shared" si="9"/>
        <v>0</v>
      </c>
      <c r="J60" s="7"/>
      <c r="K60" s="7"/>
      <c r="L60" s="7"/>
      <c r="M60" s="2"/>
      <c r="U60" s="161"/>
      <c r="W60" s="95" t="s">
        <v>100</v>
      </c>
      <c r="X60" s="96" t="s">
        <v>114</v>
      </c>
      <c r="Y60" s="96">
        <v>1666.8</v>
      </c>
      <c r="Z60" s="224"/>
      <c r="AA60" s="224"/>
      <c r="AC60" s="95" t="s">
        <v>110</v>
      </c>
      <c r="AD60" s="96" t="s">
        <v>129</v>
      </c>
      <c r="AE60" s="96">
        <v>86</v>
      </c>
    </row>
    <row r="61" spans="1:31" ht="15" customHeight="1">
      <c r="A61" s="1" t="s">
        <v>237</v>
      </c>
      <c r="B61" s="189">
        <f>'[1]POOL-joueus'!$B$798</f>
        <v>19.12876712328767</v>
      </c>
      <c r="C61" s="189" t="str">
        <f>'[1]POOL-joueus'!$C$798</f>
        <v>Phi</v>
      </c>
      <c r="D61" s="190" t="str">
        <f>'[1]POOL-joueus'!$D$798</f>
        <v>Luca Sbisa</v>
      </c>
      <c r="E61" s="189">
        <v>20</v>
      </c>
      <c r="F61" s="189">
        <v>0</v>
      </c>
      <c r="G61" s="189">
        <v>1</v>
      </c>
      <c r="H61" s="187">
        <f t="shared" si="8"/>
        <v>1</v>
      </c>
      <c r="I61" s="188">
        <f t="shared" si="9"/>
        <v>0.05</v>
      </c>
      <c r="J61" s="7"/>
      <c r="K61" s="7"/>
      <c r="L61" s="7"/>
      <c r="M61" s="2"/>
      <c r="U61" s="161"/>
      <c r="W61" s="95" t="s">
        <v>101</v>
      </c>
      <c r="X61" s="96" t="s">
        <v>94</v>
      </c>
      <c r="Y61" s="96" t="s">
        <v>128</v>
      </c>
      <c r="Z61" s="224"/>
      <c r="AA61" s="224"/>
      <c r="AC61" s="95" t="s">
        <v>111</v>
      </c>
      <c r="AD61" s="96" t="s">
        <v>130</v>
      </c>
      <c r="AE61" s="96" t="s">
        <v>131</v>
      </c>
    </row>
    <row r="62" spans="1:21" ht="12.75">
      <c r="A62" s="1" t="s">
        <v>237</v>
      </c>
      <c r="B62" s="189">
        <f>'[1]POOL-joueus'!$B$770</f>
        <v>24.24931506849315</v>
      </c>
      <c r="C62" s="189" t="str">
        <f>'[1]POOL-joueus'!$C$770</f>
        <v>L.A.</v>
      </c>
      <c r="D62" s="190" t="str">
        <f>'[1]POOL-joueus'!$D$770</f>
        <v>Brian Boyle</v>
      </c>
      <c r="E62" s="189">
        <v>3</v>
      </c>
      <c r="F62" s="189">
        <v>0</v>
      </c>
      <c r="G62" s="189">
        <v>0</v>
      </c>
      <c r="H62" s="187">
        <f t="shared" si="8"/>
        <v>0</v>
      </c>
      <c r="I62" s="188">
        <f t="shared" si="9"/>
        <v>0</v>
      </c>
      <c r="J62" s="7"/>
      <c r="K62" s="7"/>
      <c r="L62" s="7"/>
      <c r="M62" s="2"/>
      <c r="U62" s="161"/>
    </row>
    <row r="63" spans="2:21" ht="15" customHeight="1" thickBot="1">
      <c r="B63" s="107"/>
      <c r="C63" s="107"/>
      <c r="D63" s="124"/>
      <c r="E63" s="123"/>
      <c r="F63" s="123"/>
      <c r="G63" s="123"/>
      <c r="H63" s="37">
        <f t="shared" si="8"/>
        <v>0</v>
      </c>
      <c r="I63" s="46" t="e">
        <f t="shared" si="9"/>
        <v>#DIV/0!</v>
      </c>
      <c r="J63" s="7"/>
      <c r="K63" s="7"/>
      <c r="L63" s="7"/>
      <c r="M63" s="2"/>
      <c r="U63" s="161"/>
    </row>
    <row r="64" spans="2:21" ht="15" customHeight="1">
      <c r="B64" s="274" t="s">
        <v>26</v>
      </c>
      <c r="C64" s="275"/>
      <c r="D64" s="255"/>
      <c r="E64" s="14">
        <f>SUM(E52:E63)</f>
        <v>383</v>
      </c>
      <c r="F64" s="14">
        <f>SUM(F52:F63)</f>
        <v>35</v>
      </c>
      <c r="G64" s="14">
        <f>SUM(G52:G63)</f>
        <v>146</v>
      </c>
      <c r="H64" s="33">
        <f t="shared" si="8"/>
        <v>181</v>
      </c>
      <c r="I64" s="50">
        <f t="shared" si="9"/>
        <v>0.4725848563968668</v>
      </c>
      <c r="J64" s="7"/>
      <c r="K64" s="7"/>
      <c r="L64" s="7"/>
      <c r="M64" s="2"/>
      <c r="U64" s="162"/>
    </row>
    <row r="65" spans="2:21" ht="15" customHeight="1" thickBot="1">
      <c r="B65" s="319" t="s">
        <v>141</v>
      </c>
      <c r="C65" s="320"/>
      <c r="D65" s="320"/>
      <c r="E65" s="320"/>
      <c r="F65" s="320"/>
      <c r="G65" s="320"/>
      <c r="H65" s="320"/>
      <c r="I65" s="320"/>
      <c r="J65" s="320"/>
      <c r="K65" s="321"/>
      <c r="L65" s="7"/>
      <c r="M65" s="2"/>
      <c r="U65" s="162"/>
    </row>
    <row r="66" spans="2:21" ht="15" customHeight="1" thickBot="1">
      <c r="B66" s="30" t="s">
        <v>15</v>
      </c>
      <c r="C66" s="30" t="s">
        <v>16</v>
      </c>
      <c r="D66" s="30" t="s">
        <v>17</v>
      </c>
      <c r="E66" s="31" t="s">
        <v>2</v>
      </c>
      <c r="F66" s="31" t="s">
        <v>18</v>
      </c>
      <c r="G66" s="31" t="s">
        <v>19</v>
      </c>
      <c r="H66" s="31" t="s">
        <v>20</v>
      </c>
      <c r="I66" s="31" t="s">
        <v>21</v>
      </c>
      <c r="J66" s="31" t="s">
        <v>22</v>
      </c>
      <c r="K66" s="32" t="s">
        <v>6</v>
      </c>
      <c r="L66" s="7"/>
      <c r="M66" s="2"/>
      <c r="U66" s="161"/>
    </row>
    <row r="67" spans="2:21" ht="15" customHeight="1" thickTop="1">
      <c r="B67" s="180">
        <f>'[1]Pool-gardien'!$B$125</f>
        <v>24.843835616438355</v>
      </c>
      <c r="C67" s="180" t="str">
        <f>'[1]Pool-gardien'!$C$125</f>
        <v>Edm</v>
      </c>
      <c r="D67" s="181" t="str">
        <f>'[1]Pool-gardien'!$D$125</f>
        <v>Jeff Deslauriers</v>
      </c>
      <c r="E67" s="216">
        <v>1</v>
      </c>
      <c r="F67" s="216">
        <v>0</v>
      </c>
      <c r="G67" s="216">
        <v>0</v>
      </c>
      <c r="H67" s="216">
        <v>0</v>
      </c>
      <c r="I67" s="216">
        <v>0</v>
      </c>
      <c r="J67" s="216">
        <v>0</v>
      </c>
      <c r="K67" s="187">
        <f>(F67*2)+G67+(H67*4)+(I67*10)+J67</f>
        <v>0</v>
      </c>
      <c r="L67" s="7"/>
      <c r="M67" s="2"/>
      <c r="U67" s="161"/>
    </row>
    <row r="68" spans="2:21" ht="15" customHeight="1" thickBot="1">
      <c r="B68" s="108"/>
      <c r="C68" s="108"/>
      <c r="D68" s="110"/>
      <c r="E68" s="137"/>
      <c r="F68" s="137"/>
      <c r="G68" s="137"/>
      <c r="H68" s="137"/>
      <c r="I68" s="137"/>
      <c r="J68" s="137"/>
      <c r="K68" s="120">
        <f>(F68*2)+G68+(H68*4)+(I68*10)+J68</f>
        <v>0</v>
      </c>
      <c r="L68" s="7"/>
      <c r="M68" s="2"/>
      <c r="U68" s="161"/>
    </row>
    <row r="69" spans="2:21" ht="15" customHeight="1">
      <c r="B69" s="274" t="s">
        <v>26</v>
      </c>
      <c r="C69" s="275"/>
      <c r="D69" s="255"/>
      <c r="E69" s="14">
        <f aca="true" t="shared" si="10" ref="E69:J69">SUM(E66:E68)</f>
        <v>1</v>
      </c>
      <c r="F69" s="14">
        <f t="shared" si="10"/>
        <v>0</v>
      </c>
      <c r="G69" s="14">
        <f t="shared" si="10"/>
        <v>0</v>
      </c>
      <c r="H69" s="14">
        <f t="shared" si="10"/>
        <v>0</v>
      </c>
      <c r="I69" s="14">
        <f t="shared" si="10"/>
        <v>0</v>
      </c>
      <c r="J69" s="14">
        <f t="shared" si="10"/>
        <v>0</v>
      </c>
      <c r="K69" s="33">
        <f>(F69*2)+G69+(H69*4)+(I69*10)+J69</f>
        <v>0</v>
      </c>
      <c r="L69" s="7"/>
      <c r="M69" s="2"/>
      <c r="U69" s="161"/>
    </row>
    <row r="70" spans="2:21" ht="14.25" thickBot="1">
      <c r="B70" s="319" t="s">
        <v>140</v>
      </c>
      <c r="C70" s="320"/>
      <c r="D70" s="320"/>
      <c r="E70" s="320"/>
      <c r="F70" s="320"/>
      <c r="G70" s="320"/>
      <c r="H70" s="320"/>
      <c r="I70" s="321"/>
      <c r="L70" s="7"/>
      <c r="M70" s="2"/>
      <c r="U70" s="161"/>
    </row>
    <row r="71" spans="1:21" ht="15.75" customHeight="1" thickBot="1">
      <c r="A71" s="30" t="s">
        <v>143</v>
      </c>
      <c r="B71" s="30" t="s">
        <v>15</v>
      </c>
      <c r="C71" s="30" t="s">
        <v>29</v>
      </c>
      <c r="D71" s="30" t="s">
        <v>17</v>
      </c>
      <c r="E71" s="31" t="s">
        <v>2</v>
      </c>
      <c r="F71" s="31" t="s">
        <v>21</v>
      </c>
      <c r="G71" s="31" t="s">
        <v>30</v>
      </c>
      <c r="H71" s="32" t="s">
        <v>6</v>
      </c>
      <c r="I71" s="31" t="s">
        <v>11</v>
      </c>
      <c r="M71" s="2"/>
      <c r="U71" s="161"/>
    </row>
    <row r="72" spans="1:21" ht="15" customHeight="1" thickTop="1">
      <c r="A72" s="201" t="s">
        <v>144</v>
      </c>
      <c r="B72" s="185">
        <f>'[1]POOL-joueus'!$B$403</f>
        <v>25.13150684931507</v>
      </c>
      <c r="C72" s="185" t="str">
        <f>'[1]POOL-joueus'!$C$403</f>
        <v>Tor</v>
      </c>
      <c r="D72" s="186" t="str">
        <f>'[1]POOL-joueus'!$D$403</f>
        <v>Mikhail Grabovsky</v>
      </c>
      <c r="E72" s="185">
        <v>26</v>
      </c>
      <c r="F72" s="185">
        <v>4</v>
      </c>
      <c r="G72" s="185">
        <v>7</v>
      </c>
      <c r="H72" s="187">
        <f aca="true" t="shared" si="11" ref="H72:H78">SUM(F72:G72)</f>
        <v>11</v>
      </c>
      <c r="I72" s="199">
        <f aca="true" t="shared" si="12" ref="I72:I79">H72/E72</f>
        <v>0.4230769230769231</v>
      </c>
      <c r="J72" s="142"/>
      <c r="L72" s="7"/>
      <c r="M72" s="2"/>
      <c r="U72" s="161"/>
    </row>
    <row r="73" spans="1:21" ht="15" customHeight="1">
      <c r="A73" s="108" t="s">
        <v>144</v>
      </c>
      <c r="B73" s="109">
        <f>'[1]POOL-joueus'!$B$771</f>
        <v>20.791780821917808</v>
      </c>
      <c r="C73" s="109" t="str">
        <f>'[1]POOL-joueus'!$C$771</f>
        <v>Stl</v>
      </c>
      <c r="D73" s="111" t="str">
        <f>'[1]POOL-joueus'!$D$771</f>
        <v>Patrik Berglund</v>
      </c>
      <c r="E73" s="109">
        <f>('[1]POOL-joueus'!$E$771)-27</f>
        <v>34</v>
      </c>
      <c r="F73" s="109">
        <f>('[1]POOL-joueus'!$F$771)-10</f>
        <v>7</v>
      </c>
      <c r="G73" s="109">
        <f>('[1]POOL-joueus'!$G$771)-13</f>
        <v>9</v>
      </c>
      <c r="H73" s="44">
        <f t="shared" si="11"/>
        <v>16</v>
      </c>
      <c r="I73" s="29">
        <f t="shared" si="12"/>
        <v>0.47058823529411764</v>
      </c>
      <c r="J73" s="142"/>
      <c r="L73" s="7"/>
      <c r="M73" s="2"/>
      <c r="U73" s="161"/>
    </row>
    <row r="74" spans="1:21" ht="15" customHeight="1">
      <c r="A74" s="109" t="s">
        <v>144</v>
      </c>
      <c r="B74" s="109">
        <f>'[1]POOL-joueus'!$B$527</f>
        <v>21.08219178082192</v>
      </c>
      <c r="C74" s="109" t="str">
        <f>'[1]POOL-joueus'!$C$527</f>
        <v>Fla</v>
      </c>
      <c r="D74" s="111" t="str">
        <f>'[1]POOL-joueus'!$D$527</f>
        <v>Michael Frolik</v>
      </c>
      <c r="E74" s="109">
        <f>('[1]POOL-joueus'!$E$527)-39</f>
        <v>25</v>
      </c>
      <c r="F74" s="109">
        <f>('[1]POOL-joueus'!$F$527)-9</f>
        <v>8</v>
      </c>
      <c r="G74" s="109">
        <f>('[1]POOL-joueus'!$G$527)-10</f>
        <v>7</v>
      </c>
      <c r="H74" s="44">
        <f t="shared" si="11"/>
        <v>15</v>
      </c>
      <c r="I74" s="29">
        <f t="shared" si="12"/>
        <v>0.6</v>
      </c>
      <c r="J74" s="142"/>
      <c r="L74" s="7"/>
      <c r="M74" s="2"/>
      <c r="U74" s="161"/>
    </row>
    <row r="75" spans="1:21" ht="15" customHeight="1">
      <c r="A75" s="180" t="s">
        <v>144</v>
      </c>
      <c r="B75" s="189">
        <f>'[1]POOL-joueus'!$B$788</f>
        <v>20.15068493150685</v>
      </c>
      <c r="C75" s="189" t="str">
        <f>'[1]POOL-joueus'!$C$788</f>
        <v>L.A.</v>
      </c>
      <c r="D75" s="190" t="str">
        <f>'[1]POOL-joueus'!$D$788</f>
        <v>Oscar Moller</v>
      </c>
      <c r="E75" s="189">
        <v>15</v>
      </c>
      <c r="F75" s="189">
        <v>2</v>
      </c>
      <c r="G75" s="189">
        <v>4</v>
      </c>
      <c r="H75" s="187">
        <f t="shared" si="11"/>
        <v>6</v>
      </c>
      <c r="I75" s="199">
        <f t="shared" si="12"/>
        <v>0.4</v>
      </c>
      <c r="J75" s="142"/>
      <c r="L75" s="7"/>
      <c r="M75" s="2"/>
      <c r="U75" s="161"/>
    </row>
    <row r="76" spans="1:21" ht="15" customHeight="1">
      <c r="A76" s="201" t="s">
        <v>145</v>
      </c>
      <c r="B76" s="185">
        <f>'[1]POOL-joueus'!$B$550</f>
        <v>22.21095890410959</v>
      </c>
      <c r="C76" s="185" t="str">
        <f>'[1]POOL-joueus'!$C$550</f>
        <v>Nsh</v>
      </c>
      <c r="D76" s="186" t="str">
        <f>'[1]POOL-joueus'!$D$550</f>
        <v>Patric Hornqvist</v>
      </c>
      <c r="E76" s="214">
        <v>14</v>
      </c>
      <c r="F76" s="214">
        <v>2</v>
      </c>
      <c r="G76" s="214">
        <v>5</v>
      </c>
      <c r="H76" s="187">
        <f t="shared" si="11"/>
        <v>7</v>
      </c>
      <c r="I76" s="199">
        <f t="shared" si="12"/>
        <v>0.5</v>
      </c>
      <c r="J76" s="142"/>
      <c r="L76" s="7"/>
      <c r="M76" s="2"/>
      <c r="U76" s="161"/>
    </row>
    <row r="77" spans="1:21" ht="15" customHeight="1">
      <c r="A77" s="201" t="s">
        <v>145</v>
      </c>
      <c r="B77" s="185">
        <f>'[1]POOL-joueus'!$B$574</f>
        <v>22.052054794520547</v>
      </c>
      <c r="C77" s="185" t="str">
        <f>'[1]POOL-joueus'!$C$574</f>
        <v>Phi</v>
      </c>
      <c r="D77" s="186" t="str">
        <f>'[1]POOL-joueus'!$D$574</f>
        <v>Andreas Nodl</v>
      </c>
      <c r="E77" s="214">
        <v>4</v>
      </c>
      <c r="F77" s="214">
        <v>0</v>
      </c>
      <c r="G77" s="214">
        <v>0</v>
      </c>
      <c r="H77" s="187">
        <f t="shared" si="11"/>
        <v>0</v>
      </c>
      <c r="I77" s="199">
        <f t="shared" si="12"/>
        <v>0</v>
      </c>
      <c r="J77" s="142"/>
      <c r="L77" s="7"/>
      <c r="M77" s="2"/>
      <c r="U77" s="161"/>
    </row>
    <row r="78" spans="1:21" ht="15" customHeight="1" thickBot="1">
      <c r="A78" s="108"/>
      <c r="B78" s="108"/>
      <c r="C78" s="108"/>
      <c r="D78" s="110"/>
      <c r="E78" s="113"/>
      <c r="F78" s="113"/>
      <c r="G78" s="113"/>
      <c r="H78" s="120">
        <f t="shared" si="11"/>
        <v>0</v>
      </c>
      <c r="I78" s="115" t="e">
        <f t="shared" si="12"/>
        <v>#DIV/0!</v>
      </c>
      <c r="L78" s="7"/>
      <c r="M78" s="2"/>
      <c r="U78" s="161"/>
    </row>
    <row r="79" spans="2:21" ht="15" customHeight="1">
      <c r="B79" s="278" t="s">
        <v>7</v>
      </c>
      <c r="C79" s="281"/>
      <c r="D79" s="279"/>
      <c r="E79" s="22">
        <f>SUM(E72:E78)</f>
        <v>118</v>
      </c>
      <c r="F79" s="22">
        <f>SUM(F72:F78)</f>
        <v>23</v>
      </c>
      <c r="G79" s="22">
        <f>SUM(G72:G78)</f>
        <v>32</v>
      </c>
      <c r="H79" s="33">
        <f>SUM(H72:H78)</f>
        <v>55</v>
      </c>
      <c r="I79" s="23">
        <f t="shared" si="12"/>
        <v>0.4661016949152542</v>
      </c>
      <c r="L79" s="7"/>
      <c r="M79" s="2"/>
      <c r="U79" s="162"/>
    </row>
    <row r="80" spans="2:21" ht="15" customHeight="1">
      <c r="B80" s="76"/>
      <c r="C80" s="76"/>
      <c r="D80" s="76"/>
      <c r="E80" s="53"/>
      <c r="F80" s="53"/>
      <c r="G80" s="53"/>
      <c r="H80" s="53"/>
      <c r="I80" s="77"/>
      <c r="L80" s="7"/>
      <c r="M80" s="2"/>
      <c r="U80" s="162"/>
    </row>
    <row r="81" spans="2:21" ht="15" customHeight="1">
      <c r="B81" s="278" t="s">
        <v>142</v>
      </c>
      <c r="C81" s="281"/>
      <c r="D81" s="279"/>
      <c r="E81" s="109">
        <f>E69+E79</f>
        <v>119</v>
      </c>
      <c r="F81" s="112"/>
      <c r="G81" s="112"/>
      <c r="H81" s="44">
        <f>K69+H79</f>
        <v>55</v>
      </c>
      <c r="I81" s="29">
        <f>H81/E81</f>
        <v>0.46218487394957986</v>
      </c>
      <c r="L81" s="7"/>
      <c r="M81" s="2"/>
      <c r="U81" s="163"/>
    </row>
    <row r="82" spans="2:21" ht="15" customHeight="1" thickBot="1">
      <c r="B82" s="51"/>
      <c r="C82" s="51"/>
      <c r="D82" s="51"/>
      <c r="E82" s="51"/>
      <c r="F82" s="51"/>
      <c r="G82" s="51"/>
      <c r="H82" s="51"/>
      <c r="I82" s="51"/>
      <c r="J82" s="52"/>
      <c r="K82" s="52"/>
      <c r="L82" s="52"/>
      <c r="M82" s="2"/>
      <c r="U82" s="161"/>
    </row>
    <row r="83" spans="2:21" ht="13.5">
      <c r="B83" s="280" t="s">
        <v>63</v>
      </c>
      <c r="C83" s="280"/>
      <c r="D83" s="280"/>
      <c r="E83" s="280"/>
      <c r="F83" s="280"/>
      <c r="G83" s="280"/>
      <c r="H83" s="280"/>
      <c r="I83" s="280"/>
      <c r="J83" s="280"/>
      <c r="K83" s="280"/>
      <c r="M83" s="2"/>
      <c r="U83" s="161"/>
    </row>
    <row r="84" spans="2:21" ht="15" customHeight="1">
      <c r="B84" s="53"/>
      <c r="C84" s="53"/>
      <c r="D84" s="53"/>
      <c r="E84" s="53"/>
      <c r="F84" s="53"/>
      <c r="G84" s="53"/>
      <c r="H84" s="53"/>
      <c r="I84" s="53"/>
      <c r="J84" s="7"/>
      <c r="K84" s="7"/>
      <c r="M84" s="2"/>
      <c r="U84" s="161"/>
    </row>
    <row r="85" spans="2:21" ht="15" customHeight="1" thickBot="1">
      <c r="B85" s="53"/>
      <c r="C85" s="248" t="s">
        <v>1</v>
      </c>
      <c r="D85" s="249"/>
      <c r="E85" s="54" t="s">
        <v>2</v>
      </c>
      <c r="F85" s="54" t="s">
        <v>3</v>
      </c>
      <c r="G85" s="54" t="s">
        <v>4</v>
      </c>
      <c r="H85" s="54" t="s">
        <v>5</v>
      </c>
      <c r="I85" s="54" t="s">
        <v>6</v>
      </c>
      <c r="J85" s="53"/>
      <c r="K85" s="53"/>
      <c r="M85" s="2"/>
      <c r="U85" s="161"/>
    </row>
    <row r="86" spans="2:21" ht="15" customHeight="1" thickBot="1" thickTop="1">
      <c r="B86" s="53"/>
      <c r="C86" s="276" t="str">
        <f>'[1]Equipes-Pool'!$B$35</f>
        <v>Coyotes de Phoenix</v>
      </c>
      <c r="D86" s="277"/>
      <c r="E86" s="55">
        <f>'[1]Equipes-Pool'!$C$35</f>
        <v>68</v>
      </c>
      <c r="F86" s="55">
        <f>'[1]Equipes-Pool'!$D$35</f>
        <v>62</v>
      </c>
      <c r="G86" s="55">
        <f>'[1]Equipes-Pool'!$E$35</f>
        <v>168</v>
      </c>
      <c r="H86" s="55">
        <f>'[1]Equipes-Pool'!$F$35</f>
        <v>210</v>
      </c>
      <c r="I86" s="12">
        <f>F86+(G86-H86)</f>
        <v>20</v>
      </c>
      <c r="J86" s="53"/>
      <c r="K86" s="53"/>
      <c r="M86" s="2"/>
      <c r="U86" s="161"/>
    </row>
    <row r="87" spans="2:21" ht="15" customHeight="1">
      <c r="B87" s="53"/>
      <c r="C87" s="278" t="s">
        <v>7</v>
      </c>
      <c r="D87" s="279"/>
      <c r="E87" s="22">
        <f>SUM(E86)</f>
        <v>68</v>
      </c>
      <c r="F87" s="22">
        <f>SUM(F86)</f>
        <v>62</v>
      </c>
      <c r="G87" s="22">
        <f>SUM(G86)</f>
        <v>168</v>
      </c>
      <c r="H87" s="22">
        <f>SUM(H86)</f>
        <v>210</v>
      </c>
      <c r="I87" s="56">
        <f>F87+(G87-H87)</f>
        <v>20</v>
      </c>
      <c r="J87" s="53"/>
      <c r="K87" s="53"/>
      <c r="M87" s="2"/>
      <c r="U87" s="161"/>
    </row>
    <row r="88" spans="10:21" ht="15" customHeight="1">
      <c r="J88" s="57"/>
      <c r="K88" s="57"/>
      <c r="M88" s="2"/>
      <c r="U88" s="161"/>
    </row>
    <row r="89" spans="2:21" ht="15" customHeight="1">
      <c r="B89" s="251" t="s">
        <v>13</v>
      </c>
      <c r="C89" s="252"/>
      <c r="D89" s="252"/>
      <c r="E89" s="252"/>
      <c r="F89" s="252"/>
      <c r="G89" s="252"/>
      <c r="H89" s="252"/>
      <c r="I89" s="252"/>
      <c r="J89" s="252"/>
      <c r="K89" s="253"/>
      <c r="M89" s="2"/>
      <c r="U89" s="161"/>
    </row>
    <row r="90" spans="2:21" ht="15" customHeight="1" thickBot="1">
      <c r="B90" s="54" t="s">
        <v>15</v>
      </c>
      <c r="C90" s="54" t="s">
        <v>16</v>
      </c>
      <c r="D90" s="54" t="s">
        <v>17</v>
      </c>
      <c r="E90" s="54" t="s">
        <v>2</v>
      </c>
      <c r="F90" s="54" t="s">
        <v>18</v>
      </c>
      <c r="G90" s="54" t="s">
        <v>19</v>
      </c>
      <c r="H90" s="54" t="s">
        <v>20</v>
      </c>
      <c r="I90" s="54" t="s">
        <v>21</v>
      </c>
      <c r="J90" s="54" t="s">
        <v>22</v>
      </c>
      <c r="K90" s="54" t="s">
        <v>6</v>
      </c>
      <c r="M90" s="2"/>
      <c r="U90" s="161"/>
    </row>
    <row r="91" spans="2:21" ht="15" customHeight="1" thickTop="1">
      <c r="B91" s="108">
        <f>'[1]Pool-gardien'!$B$24</f>
        <v>34.93424657534246</v>
      </c>
      <c r="C91" s="108" t="str">
        <f>'[1]Pool-gardien'!$C$24</f>
        <v>Bos</v>
      </c>
      <c r="D91" s="110" t="str">
        <f>'[1]Pool-gardien'!$D$24</f>
        <v>Tim Thomas</v>
      </c>
      <c r="E91" s="108">
        <f>('[1]Pool-gardien'!$E$24)-8</f>
        <v>37</v>
      </c>
      <c r="F91" s="108">
        <f>('[1]Pool-gardien'!$F$24)-7</f>
        <v>22</v>
      </c>
      <c r="G91" s="108">
        <f>('[1]Pool-gardien'!$G$24)</f>
        <v>6</v>
      </c>
      <c r="H91" s="108">
        <f>('[1]Pool-gardien'!$H$24)-1</f>
        <v>3</v>
      </c>
      <c r="I91" s="108">
        <f>('[1]Pool-gardien'!$I$24)</f>
        <v>0</v>
      </c>
      <c r="J91" s="108">
        <f>('[1]Pool-gardien'!$J$24)</f>
        <v>1</v>
      </c>
      <c r="K91" s="14">
        <f>(F91*2)+G91+(H91*4)+(I91*10)+J91</f>
        <v>63</v>
      </c>
      <c r="M91" s="2"/>
      <c r="U91" s="161"/>
    </row>
    <row r="92" spans="2:21" ht="15" customHeight="1">
      <c r="B92" s="189">
        <f>'[1]Pool-gardien'!$B$10</f>
        <v>25.052054794520547</v>
      </c>
      <c r="C92" s="189" t="str">
        <f>'[1]Pool-gardien'!$C$10</f>
        <v>Car</v>
      </c>
      <c r="D92" s="190" t="str">
        <f>'[1]Pool-gardien'!$D$10</f>
        <v>Cam Ward</v>
      </c>
      <c r="E92" s="189">
        <v>7</v>
      </c>
      <c r="F92" s="189">
        <v>4</v>
      </c>
      <c r="G92" s="189">
        <v>1</v>
      </c>
      <c r="H92" s="189">
        <v>0</v>
      </c>
      <c r="I92" s="189">
        <v>0</v>
      </c>
      <c r="J92" s="189">
        <v>0</v>
      </c>
      <c r="K92" s="201">
        <f>(F92*2)+G92+(H92*4)+(I92*10)+J92</f>
        <v>9</v>
      </c>
      <c r="M92" s="2"/>
      <c r="U92" s="161"/>
    </row>
    <row r="93" spans="1:21" ht="12.75">
      <c r="A93" s="142"/>
      <c r="B93" s="109"/>
      <c r="C93" s="109"/>
      <c r="D93" s="111"/>
      <c r="E93" s="109"/>
      <c r="F93" s="109"/>
      <c r="G93" s="109"/>
      <c r="H93" s="109"/>
      <c r="I93" s="109"/>
      <c r="J93" s="109"/>
      <c r="K93" s="14">
        <f>(F93*2)+G93+(H93*4)+(I93*10)+J93</f>
        <v>0</v>
      </c>
      <c r="M93" s="2"/>
      <c r="U93" s="161"/>
    </row>
    <row r="94" spans="2:21" ht="15" customHeight="1" thickBot="1">
      <c r="B94" s="109"/>
      <c r="C94" s="109"/>
      <c r="D94" s="111"/>
      <c r="E94" s="137"/>
      <c r="F94" s="137"/>
      <c r="G94" s="137"/>
      <c r="H94" s="137"/>
      <c r="I94" s="137"/>
      <c r="J94" s="137"/>
      <c r="K94" s="36">
        <f>(F94*2)+G94+(H94*4)+(I94*10)+J94</f>
        <v>0</v>
      </c>
      <c r="M94" s="2"/>
      <c r="U94" s="161"/>
    </row>
    <row r="95" spans="2:21" ht="15" customHeight="1">
      <c r="B95" s="278" t="s">
        <v>7</v>
      </c>
      <c r="C95" s="281"/>
      <c r="D95" s="279"/>
      <c r="E95" s="22">
        <f aca="true" t="shared" si="13" ref="E95:J95">SUM(E91:E94)</f>
        <v>44</v>
      </c>
      <c r="F95" s="22">
        <f t="shared" si="13"/>
        <v>26</v>
      </c>
      <c r="G95" s="22">
        <f t="shared" si="13"/>
        <v>7</v>
      </c>
      <c r="H95" s="22">
        <f t="shared" si="13"/>
        <v>3</v>
      </c>
      <c r="I95" s="22">
        <f t="shared" si="13"/>
        <v>0</v>
      </c>
      <c r="J95" s="22">
        <f t="shared" si="13"/>
        <v>1</v>
      </c>
      <c r="K95" s="14">
        <f>(F95*2)+G95+(H95*4)+(I95*10)+J95</f>
        <v>72</v>
      </c>
      <c r="M95" s="2"/>
      <c r="U95" s="161"/>
    </row>
    <row r="96" spans="13:21" ht="15" customHeight="1">
      <c r="M96" s="2"/>
      <c r="U96" s="161"/>
    </row>
    <row r="97" spans="2:21" ht="15" customHeight="1">
      <c r="B97" s="251" t="s">
        <v>23</v>
      </c>
      <c r="C97" s="252"/>
      <c r="D97" s="252"/>
      <c r="E97" s="252"/>
      <c r="F97" s="252"/>
      <c r="G97" s="252"/>
      <c r="H97" s="252"/>
      <c r="I97" s="253"/>
      <c r="M97" s="2"/>
      <c r="U97" s="161"/>
    </row>
    <row r="98" spans="2:21" ht="15" customHeight="1" thickBot="1">
      <c r="B98" s="54" t="s">
        <v>15</v>
      </c>
      <c r="C98" s="54" t="s">
        <v>29</v>
      </c>
      <c r="D98" s="54" t="s">
        <v>17</v>
      </c>
      <c r="E98" s="54" t="s">
        <v>2</v>
      </c>
      <c r="F98" s="54" t="s">
        <v>21</v>
      </c>
      <c r="G98" s="54" t="s">
        <v>30</v>
      </c>
      <c r="H98" s="54" t="s">
        <v>6</v>
      </c>
      <c r="I98" s="54" t="s">
        <v>11</v>
      </c>
      <c r="M98" s="2"/>
      <c r="U98" s="161"/>
    </row>
    <row r="99" spans="2:21" ht="15" customHeight="1" thickTop="1">
      <c r="B99" s="185">
        <f>'[1]POOL-joueus'!$B$228</f>
        <v>23.671232876712327</v>
      </c>
      <c r="C99" s="185" t="str">
        <f>'[1]POOL-joueus'!$C$228</f>
        <v>Dal</v>
      </c>
      <c r="D99" s="186" t="str">
        <f>'[1]POOL-joueus'!$D$228</f>
        <v>Loui Eriksson</v>
      </c>
      <c r="E99" s="185">
        <v>9</v>
      </c>
      <c r="F99" s="185">
        <v>4</v>
      </c>
      <c r="G99" s="185">
        <v>2</v>
      </c>
      <c r="H99" s="139">
        <f aca="true" t="shared" si="14" ref="H99:H110">SUM(F99:G99)</f>
        <v>6</v>
      </c>
      <c r="I99" s="182">
        <f aca="true" t="shared" si="15" ref="I99:I110">H99/E99</f>
        <v>0.6666666666666666</v>
      </c>
      <c r="M99" s="2"/>
      <c r="U99" s="161"/>
    </row>
    <row r="100" spans="2:21" ht="15" customHeight="1">
      <c r="B100" s="185">
        <f>'[1]POOL-joueus'!$B$289</f>
        <v>25.254794520547946</v>
      </c>
      <c r="C100" s="185" t="str">
        <f>'[1]POOL-joueus'!$C$289</f>
        <v>Ana</v>
      </c>
      <c r="D100" s="186" t="str">
        <f>'[1]POOL-joueus'!$D$289</f>
        <v>Erik Christensen</v>
      </c>
      <c r="E100" s="185">
        <v>20</v>
      </c>
      <c r="F100" s="185">
        <v>1</v>
      </c>
      <c r="G100" s="185">
        <v>7</v>
      </c>
      <c r="H100" s="139">
        <f t="shared" si="14"/>
        <v>8</v>
      </c>
      <c r="I100" s="182">
        <f t="shared" si="15"/>
        <v>0.4</v>
      </c>
      <c r="M100" s="2"/>
      <c r="U100" s="161"/>
    </row>
    <row r="101" spans="2:21" ht="15" customHeight="1">
      <c r="B101" s="183">
        <f>'[1]POOL-joueus'!$B$96</f>
        <v>24.126027397260273</v>
      </c>
      <c r="C101" s="183" t="str">
        <f>'[1]POOL-joueus'!$C$96</f>
        <v>Edm</v>
      </c>
      <c r="D101" s="184" t="str">
        <f>'[1]POOL-joueus'!$D$96</f>
        <v>Patrick O'Sullivan</v>
      </c>
      <c r="E101" s="183">
        <v>2</v>
      </c>
      <c r="F101" s="183">
        <v>1</v>
      </c>
      <c r="G101" s="183">
        <v>0</v>
      </c>
      <c r="H101" s="139">
        <f t="shared" si="14"/>
        <v>1</v>
      </c>
      <c r="I101" s="182">
        <f t="shared" si="15"/>
        <v>0.5</v>
      </c>
      <c r="M101" s="2"/>
      <c r="U101" s="161"/>
    </row>
    <row r="102" spans="2:21" ht="14.25" customHeight="1">
      <c r="B102" s="185">
        <f>'[1]POOL-joueus'!$B$141</f>
        <v>25.205479452054796</v>
      </c>
      <c r="C102" s="185" t="str">
        <f>'[1]POOL-joueus'!$C$141</f>
        <v>Det</v>
      </c>
      <c r="D102" s="186" t="str">
        <f>'[1]POOL-joueus'!$D$141</f>
        <v>Jiri Hulder</v>
      </c>
      <c r="E102" s="185">
        <v>13</v>
      </c>
      <c r="F102" s="185">
        <v>4</v>
      </c>
      <c r="G102" s="185">
        <v>10</v>
      </c>
      <c r="H102" s="139">
        <f t="shared" si="14"/>
        <v>14</v>
      </c>
      <c r="I102" s="182">
        <f t="shared" si="15"/>
        <v>1.0769230769230769</v>
      </c>
      <c r="M102" s="2"/>
      <c r="U102" s="161"/>
    </row>
    <row r="103" spans="2:21" ht="15" customHeight="1">
      <c r="B103" s="108">
        <f>'[1]POOL-joueus'!$B$183</f>
        <v>30.397260273972602</v>
      </c>
      <c r="C103" s="108" t="str">
        <f>'[1]POOL-joueus'!$C$183</f>
        <v>Car</v>
      </c>
      <c r="D103" s="110" t="str">
        <f>'[1]POOL-joueus'!$D$183</f>
        <v>Sergei Samsonov</v>
      </c>
      <c r="E103" s="109">
        <f>('[1]POOL-joueus'!$E$183)-41</f>
        <v>28</v>
      </c>
      <c r="F103" s="109">
        <f>('[1]POOL-joueus'!$F$183)-9</f>
        <v>5</v>
      </c>
      <c r="G103" s="109">
        <f>('[1]POOL-joueus'!$G$183)-14</f>
        <v>14</v>
      </c>
      <c r="H103" s="22">
        <f t="shared" si="14"/>
        <v>19</v>
      </c>
      <c r="I103" s="23">
        <f t="shared" si="15"/>
        <v>0.6785714285714286</v>
      </c>
      <c r="M103" s="2"/>
      <c r="U103" s="161"/>
    </row>
    <row r="104" spans="2:21" ht="15" customHeight="1">
      <c r="B104" s="185">
        <f>'[1]POOL-joueus'!$B$801</f>
        <v>26.224657534246575</v>
      </c>
      <c r="C104" s="185" t="str">
        <f>'[1]POOL-joueus'!$C$801</f>
        <v>Cgy</v>
      </c>
      <c r="D104" s="186" t="str">
        <f>'[1]POOL-joueus'!$D$801</f>
        <v>Curtis Glencross</v>
      </c>
      <c r="E104" s="185">
        <v>26</v>
      </c>
      <c r="F104" s="185">
        <v>3</v>
      </c>
      <c r="G104" s="185">
        <v>9</v>
      </c>
      <c r="H104" s="139">
        <f>SUM(F104:G104)</f>
        <v>12</v>
      </c>
      <c r="I104" s="182">
        <f>H104/E104</f>
        <v>0.46153846153846156</v>
      </c>
      <c r="M104" s="2"/>
      <c r="U104" s="161"/>
    </row>
    <row r="105" spans="2:21" ht="15" customHeight="1">
      <c r="B105" s="106">
        <f>'[1]POOL-joueus'!$B$62</f>
        <v>23.805479452054794</v>
      </c>
      <c r="C105" s="106" t="str">
        <f>'[1]POOL-joueus'!$C$62</f>
        <v>Fla</v>
      </c>
      <c r="D105" s="126" t="str">
        <f>'[1]POOL-joueus'!$D$62</f>
        <v>Nathan Horton</v>
      </c>
      <c r="E105" s="106">
        <f>(('[1]POOL-joueus'!$E$62))-57</f>
        <v>0</v>
      </c>
      <c r="F105" s="106">
        <f>(('[1]POOL-joueus'!$F$62))-19</f>
        <v>0</v>
      </c>
      <c r="G105" s="106">
        <f>(('[1]POOL-joueus'!$G$62))-19</f>
        <v>0</v>
      </c>
      <c r="H105" s="22">
        <f>SUM(F105:G105)</f>
        <v>0</v>
      </c>
      <c r="I105" s="23" t="e">
        <f>H105/E105</f>
        <v>#DIV/0!</v>
      </c>
      <c r="J105" s="1" t="s">
        <v>234</v>
      </c>
      <c r="M105" s="2"/>
      <c r="U105" s="161"/>
    </row>
    <row r="106" spans="2:21" ht="15" customHeight="1">
      <c r="B106" s="109">
        <f>'[1]POOL-joueus'!$B$181</f>
        <v>25.73972602739726</v>
      </c>
      <c r="C106" s="109" t="str">
        <f>'[1]POOL-joueus'!$C$181</f>
        <v>Wsh</v>
      </c>
      <c r="D106" s="111" t="str">
        <f>'[1]POOL-joueus'!$D$181</f>
        <v>Brooks Laich</v>
      </c>
      <c r="E106" s="109">
        <f>('[1]POOL-joueus'!$E$181)-39</f>
        <v>19</v>
      </c>
      <c r="F106" s="109">
        <f>('[1]POOL-joueus'!$F$181)-11</f>
        <v>5</v>
      </c>
      <c r="G106" s="109">
        <f>('[1]POOL-joueus'!$G$181)-11</f>
        <v>11</v>
      </c>
      <c r="H106" s="22">
        <f>SUM(F106:G106)</f>
        <v>16</v>
      </c>
      <c r="I106" s="23">
        <f>H106/E106</f>
        <v>0.8421052631578947</v>
      </c>
      <c r="M106" s="2"/>
      <c r="U106" s="161"/>
    </row>
    <row r="107" spans="2:21" ht="15" customHeight="1">
      <c r="B107" s="189">
        <f>'[1]POOL-joueus'!$B$122</f>
        <v>25.487671232876714</v>
      </c>
      <c r="C107" s="189" t="str">
        <f>'[1]POOL-joueus'!$C$122</f>
        <v>Phi</v>
      </c>
      <c r="D107" s="190" t="str">
        <f>'[1]POOL-joueus'!$D$122</f>
        <v>Joffrey Lupul</v>
      </c>
      <c r="E107" s="185">
        <v>9</v>
      </c>
      <c r="F107" s="185">
        <v>4</v>
      </c>
      <c r="G107" s="185">
        <v>2</v>
      </c>
      <c r="H107" s="139">
        <f t="shared" si="14"/>
        <v>6</v>
      </c>
      <c r="I107" s="182">
        <f t="shared" si="15"/>
        <v>0.6666666666666666</v>
      </c>
      <c r="M107" s="2"/>
      <c r="U107" s="161"/>
    </row>
    <row r="108" spans="2:21" ht="15" customHeight="1">
      <c r="B108" s="185">
        <f>'[1]POOL-joueus'!$B$137</f>
        <v>25.043835616438358</v>
      </c>
      <c r="C108" s="185" t="str">
        <f>'[1]POOL-joueus'!$C$137</f>
        <v>Wsh</v>
      </c>
      <c r="D108" s="186" t="str">
        <f>'[1]POOL-joueus'!$D$137</f>
        <v>Alexander Semin</v>
      </c>
      <c r="E108" s="185">
        <v>2</v>
      </c>
      <c r="F108" s="185">
        <v>1</v>
      </c>
      <c r="G108" s="185">
        <v>1</v>
      </c>
      <c r="H108" s="139">
        <f t="shared" si="14"/>
        <v>2</v>
      </c>
      <c r="I108" s="182">
        <f t="shared" si="15"/>
        <v>1</v>
      </c>
      <c r="M108" s="2"/>
      <c r="U108" s="161"/>
    </row>
    <row r="109" spans="2:21" ht="15" customHeight="1" thickBot="1">
      <c r="B109" s="185">
        <f>'[1]POOL-joueus'!$B$292</f>
        <v>38.72054794520548</v>
      </c>
      <c r="C109" s="185" t="str">
        <f>'[1]POOL-joueus'!$C$292</f>
        <v>Ana</v>
      </c>
      <c r="D109" s="186" t="str">
        <f>'[1]POOL-joueus'!$D$292</f>
        <v>Teemu Selanne</v>
      </c>
      <c r="E109" s="204">
        <v>2</v>
      </c>
      <c r="F109" s="204">
        <v>1</v>
      </c>
      <c r="G109" s="204">
        <v>2</v>
      </c>
      <c r="H109" s="223">
        <f t="shared" si="14"/>
        <v>3</v>
      </c>
      <c r="I109" s="213">
        <f t="shared" si="15"/>
        <v>1.5</v>
      </c>
      <c r="M109" s="2"/>
      <c r="U109" s="161"/>
    </row>
    <row r="110" spans="2:21" ht="15" customHeight="1">
      <c r="B110" s="278" t="s">
        <v>7</v>
      </c>
      <c r="C110" s="281"/>
      <c r="D110" s="279"/>
      <c r="E110" s="22">
        <f>SUM(E99:E109)</f>
        <v>130</v>
      </c>
      <c r="F110" s="22">
        <f>SUM(F99:F109)</f>
        <v>29</v>
      </c>
      <c r="G110" s="22">
        <f>SUM(G99:G109)</f>
        <v>58</v>
      </c>
      <c r="H110" s="22">
        <f t="shared" si="14"/>
        <v>87</v>
      </c>
      <c r="I110" s="23">
        <f t="shared" si="15"/>
        <v>0.6692307692307692</v>
      </c>
      <c r="M110" s="2"/>
      <c r="U110" s="161"/>
    </row>
    <row r="111" spans="13:21" ht="15" customHeight="1">
      <c r="M111" s="2"/>
      <c r="U111" s="161"/>
    </row>
    <row r="112" spans="2:21" ht="15" customHeight="1">
      <c r="B112" s="251" t="s">
        <v>24</v>
      </c>
      <c r="C112" s="252"/>
      <c r="D112" s="252"/>
      <c r="E112" s="252"/>
      <c r="F112" s="252"/>
      <c r="G112" s="252"/>
      <c r="H112" s="252"/>
      <c r="I112" s="253"/>
      <c r="M112" s="2"/>
      <c r="U112" s="161"/>
    </row>
    <row r="113" spans="2:21" ht="15" customHeight="1" thickBot="1">
      <c r="B113" s="54" t="s">
        <v>15</v>
      </c>
      <c r="C113" s="54" t="s">
        <v>29</v>
      </c>
      <c r="D113" s="54" t="s">
        <v>17</v>
      </c>
      <c r="E113" s="54" t="s">
        <v>2</v>
      </c>
      <c r="F113" s="54" t="s">
        <v>21</v>
      </c>
      <c r="G113" s="54" t="s">
        <v>30</v>
      </c>
      <c r="H113" s="54" t="s">
        <v>6</v>
      </c>
      <c r="I113" s="54" t="s">
        <v>11</v>
      </c>
      <c r="M113" s="2"/>
      <c r="U113" s="161"/>
    </row>
    <row r="114" spans="2:21" ht="15" customHeight="1" thickTop="1">
      <c r="B114" s="185">
        <f>'[1]POOL-joueus'!$B$784</f>
        <v>22.786301369863015</v>
      </c>
      <c r="C114" s="185" t="str">
        <f>'[1]POOL-joueus'!$C$784</f>
        <v>Chi</v>
      </c>
      <c r="D114" s="186" t="str">
        <f>'[1]POOL-joueus'!$D$784</f>
        <v>David Bolland</v>
      </c>
      <c r="E114" s="185">
        <v>55</v>
      </c>
      <c r="F114" s="185">
        <v>14</v>
      </c>
      <c r="G114" s="185">
        <v>21</v>
      </c>
      <c r="H114" s="139">
        <f aca="true" t="shared" si="16" ref="H114:H122">SUM(F114:G114)</f>
        <v>35</v>
      </c>
      <c r="I114" s="182">
        <f aca="true" t="shared" si="17" ref="I114:I122">H114/E114</f>
        <v>0.6363636363636364</v>
      </c>
      <c r="M114" s="2"/>
      <c r="U114" s="161"/>
    </row>
    <row r="115" spans="2:21" ht="15" customHeight="1">
      <c r="B115" s="185">
        <f>'[1]POOL-joueus'!$B$256</f>
        <v>22.567123287671233</v>
      </c>
      <c r="C115" s="185" t="str">
        <f>'[1]POOL-joueus'!$C$256</f>
        <v>Bos</v>
      </c>
      <c r="D115" s="186" t="str">
        <f>'[1]POOL-joueus'!$D$256</f>
        <v>David Krejci</v>
      </c>
      <c r="E115" s="185">
        <v>5</v>
      </c>
      <c r="F115" s="185">
        <v>0</v>
      </c>
      <c r="G115" s="185">
        <v>9</v>
      </c>
      <c r="H115" s="139">
        <f t="shared" si="16"/>
        <v>9</v>
      </c>
      <c r="I115" s="182">
        <f t="shared" si="17"/>
        <v>1.8</v>
      </c>
      <c r="M115" s="2"/>
      <c r="U115" s="161"/>
    </row>
    <row r="116" spans="2:21" ht="15" customHeight="1">
      <c r="B116" s="189">
        <f>'[1]POOL-joueus'!$B$153</f>
        <v>27.86849315068493</v>
      </c>
      <c r="C116" s="189" t="str">
        <f>'[1]POOL-joueus'!$C$153</f>
        <v>Buf</v>
      </c>
      <c r="D116" s="190" t="str">
        <f>'[1]POOL-joueus'!$D$153</f>
        <v>Tim Connolly</v>
      </c>
      <c r="E116" s="189">
        <v>17</v>
      </c>
      <c r="F116" s="189">
        <v>9</v>
      </c>
      <c r="G116" s="189">
        <v>7</v>
      </c>
      <c r="H116" s="139">
        <f t="shared" si="16"/>
        <v>16</v>
      </c>
      <c r="I116" s="182">
        <f t="shared" si="17"/>
        <v>0.9411764705882353</v>
      </c>
      <c r="M116" s="2"/>
      <c r="U116" s="161"/>
    </row>
    <row r="117" spans="2:21" ht="15" customHeight="1">
      <c r="B117" s="106">
        <f>'[1]POOL-joueus'!$B$37</f>
        <v>23.224657534246575</v>
      </c>
      <c r="C117" s="106" t="str">
        <f>'[1]POOL-joueus'!$C$37</f>
        <v>Col</v>
      </c>
      <c r="D117" s="126" t="str">
        <f>'[1]POOL-joueus'!$D$37</f>
        <v>Paul Stastny</v>
      </c>
      <c r="E117" s="106">
        <f>('[1]POOL-joueus'!$E$37)-34</f>
        <v>8</v>
      </c>
      <c r="F117" s="106">
        <f>('[1]POOL-joueus'!$F$37)-10</f>
        <v>0</v>
      </c>
      <c r="G117" s="106">
        <f>('[1]POOL-joueus'!$G$37)-21</f>
        <v>4</v>
      </c>
      <c r="H117" s="22">
        <f>SUM(F117:G117)</f>
        <v>4</v>
      </c>
      <c r="I117" s="23">
        <f>H117/E117</f>
        <v>0.5</v>
      </c>
      <c r="J117" s="1" t="s">
        <v>234</v>
      </c>
      <c r="M117" s="2"/>
      <c r="U117" s="161"/>
    </row>
    <row r="118" spans="2:21" ht="16.5" customHeight="1">
      <c r="B118" s="183">
        <f>'[1]POOL-joueus'!$B$169</f>
        <v>36.465753424657535</v>
      </c>
      <c r="C118" s="183" t="str">
        <f>'[1]POOL-joueus'!$C$169</f>
        <v>Wsh</v>
      </c>
      <c r="D118" s="184" t="str">
        <f>'[1]POOL-joueus'!$D$169</f>
        <v>Michael Nylander</v>
      </c>
      <c r="E118" s="183">
        <v>9</v>
      </c>
      <c r="F118" s="183">
        <v>0</v>
      </c>
      <c r="G118" s="183">
        <v>5</v>
      </c>
      <c r="H118" s="139">
        <f t="shared" si="16"/>
        <v>5</v>
      </c>
      <c r="I118" s="182">
        <f t="shared" si="17"/>
        <v>0.5555555555555556</v>
      </c>
      <c r="M118" s="2"/>
      <c r="U118" s="161"/>
    </row>
    <row r="119" spans="2:21" ht="15" customHeight="1">
      <c r="B119" s="180">
        <f>'[1]POOL-joueus'!$B$188</f>
        <v>26.736986301369864</v>
      </c>
      <c r="C119" s="180" t="str">
        <f>'[1]POOL-joueus'!$C$188</f>
        <v>L.A.</v>
      </c>
      <c r="D119" s="181" t="str">
        <f>'[1]POOL-joueus'!$D$188</f>
        <v>Jarret Stoll</v>
      </c>
      <c r="E119" s="180">
        <v>19</v>
      </c>
      <c r="F119" s="180">
        <v>6</v>
      </c>
      <c r="G119" s="180">
        <v>3</v>
      </c>
      <c r="H119" s="139">
        <f t="shared" si="16"/>
        <v>9</v>
      </c>
      <c r="I119" s="182">
        <f t="shared" si="17"/>
        <v>0.47368421052631576</v>
      </c>
      <c r="M119" s="2"/>
      <c r="U119" s="161"/>
    </row>
    <row r="120" spans="2:21" ht="15" customHeight="1">
      <c r="B120" s="108">
        <f>'[1]POOL-joueus'!$B$349</f>
        <v>21.34794520547945</v>
      </c>
      <c r="C120" s="108" t="str">
        <f>'[1]POOL-joueus'!$C$349</f>
        <v>Atl</v>
      </c>
      <c r="D120" s="110" t="str">
        <f>'[1]POOL-joueus'!$D$349</f>
        <v>Bryan Little</v>
      </c>
      <c r="E120" s="109">
        <f>('[1]POOL-joueus'!$E$349)-42</f>
        <v>23</v>
      </c>
      <c r="F120" s="109">
        <f>('[1]POOL-joueus'!$F$349)-16</f>
        <v>13</v>
      </c>
      <c r="G120" s="109">
        <f>('[1]POOL-joueus'!$G$349)-11</f>
        <v>7</v>
      </c>
      <c r="H120" s="22">
        <f t="shared" si="16"/>
        <v>20</v>
      </c>
      <c r="I120" s="23">
        <f t="shared" si="17"/>
        <v>0.8695652173913043</v>
      </c>
      <c r="M120" s="2"/>
      <c r="U120" s="161"/>
    </row>
    <row r="121" spans="2:21" ht="15" customHeight="1" thickBot="1">
      <c r="B121" s="28"/>
      <c r="C121" s="47"/>
      <c r="D121" s="47"/>
      <c r="E121" s="40"/>
      <c r="F121" s="40"/>
      <c r="G121" s="40"/>
      <c r="H121" s="40">
        <f t="shared" si="16"/>
        <v>0</v>
      </c>
      <c r="I121" s="41" t="e">
        <f t="shared" si="17"/>
        <v>#DIV/0!</v>
      </c>
      <c r="L121" s="129"/>
      <c r="M121" s="2"/>
      <c r="U121" s="161"/>
    </row>
    <row r="122" spans="2:21" ht="15" customHeight="1">
      <c r="B122" s="278" t="s">
        <v>7</v>
      </c>
      <c r="C122" s="281"/>
      <c r="D122" s="279"/>
      <c r="E122" s="22">
        <f>SUM(E114:E121)</f>
        <v>136</v>
      </c>
      <c r="F122" s="22">
        <f>SUM(F114:F121)</f>
        <v>42</v>
      </c>
      <c r="G122" s="22">
        <f>SUM(G114:G121)</f>
        <v>56</v>
      </c>
      <c r="H122" s="22">
        <f t="shared" si="16"/>
        <v>98</v>
      </c>
      <c r="I122" s="23">
        <f t="shared" si="17"/>
        <v>0.7205882352941176</v>
      </c>
      <c r="L122" s="129"/>
      <c r="M122" s="2"/>
      <c r="U122" s="161"/>
    </row>
    <row r="123" spans="12:21" ht="15" customHeight="1">
      <c r="L123" s="129"/>
      <c r="M123" s="2"/>
      <c r="U123" s="161"/>
    </row>
    <row r="124" spans="2:21" ht="15" customHeight="1">
      <c r="B124" s="251" t="s">
        <v>25</v>
      </c>
      <c r="C124" s="252"/>
      <c r="D124" s="252"/>
      <c r="E124" s="252"/>
      <c r="F124" s="252"/>
      <c r="G124" s="252"/>
      <c r="H124" s="252"/>
      <c r="I124" s="253"/>
      <c r="L124" s="129"/>
      <c r="M124" s="2"/>
      <c r="U124" s="161"/>
    </row>
    <row r="125" spans="2:21" ht="15" customHeight="1" thickBot="1">
      <c r="B125" s="54" t="s">
        <v>15</v>
      </c>
      <c r="C125" s="54" t="s">
        <v>29</v>
      </c>
      <c r="D125" s="54" t="s">
        <v>17</v>
      </c>
      <c r="E125" s="54" t="s">
        <v>2</v>
      </c>
      <c r="F125" s="54" t="s">
        <v>21</v>
      </c>
      <c r="G125" s="54" t="s">
        <v>30</v>
      </c>
      <c r="H125" s="54" t="s">
        <v>6</v>
      </c>
      <c r="I125" s="54" t="s">
        <v>11</v>
      </c>
      <c r="L125" s="129"/>
      <c r="M125" s="2"/>
      <c r="U125" s="161"/>
    </row>
    <row r="126" spans="2:21" ht="15" customHeight="1" thickTop="1">
      <c r="B126" s="185">
        <f>'[1]POOL-joueus'!$B$373</f>
        <v>21.96986301369863</v>
      </c>
      <c r="C126" s="185" t="str">
        <f>'[1]POOL-joueus'!$C$373</f>
        <v>S.J.</v>
      </c>
      <c r="D126" s="208" t="str">
        <f>'[1]POOL-joueus'!$D$373</f>
        <v>Marc-Édouard Vlasic</v>
      </c>
      <c r="E126" s="209">
        <v>17</v>
      </c>
      <c r="F126" s="209">
        <v>2</v>
      </c>
      <c r="G126" s="209">
        <v>10</v>
      </c>
      <c r="H126" s="139">
        <f aca="true" t="shared" si="18" ref="H126:H135">SUM(F126:G126)</f>
        <v>12</v>
      </c>
      <c r="I126" s="182">
        <f aca="true" t="shared" si="19" ref="I126:I135">H126/E126</f>
        <v>0.7058823529411765</v>
      </c>
      <c r="L126" s="129"/>
      <c r="M126" s="2"/>
      <c r="U126" s="161"/>
    </row>
    <row r="127" spans="2:21" ht="15" customHeight="1">
      <c r="B127" s="185">
        <f>'[1]POOL-joueus'!$B$773</f>
        <v>25.78082191780822</v>
      </c>
      <c r="C127" s="185" t="str">
        <f>'[1]POOL-joueus'!$C$773</f>
        <v>L.A.</v>
      </c>
      <c r="D127" s="186" t="str">
        <f>'[1]POOL-joueus'!$D$773</f>
        <v>Peter Harrold</v>
      </c>
      <c r="E127" s="185">
        <v>41</v>
      </c>
      <c r="F127" s="185">
        <v>3</v>
      </c>
      <c r="G127" s="185">
        <v>8</v>
      </c>
      <c r="H127" s="139">
        <f>SUM(F127:G127)</f>
        <v>11</v>
      </c>
      <c r="I127" s="182">
        <f>H127/E127</f>
        <v>0.2682926829268293</v>
      </c>
      <c r="L127" s="129"/>
      <c r="M127" s="2"/>
      <c r="U127" s="161"/>
    </row>
    <row r="128" spans="2:21" ht="15" customHeight="1" thickBot="1">
      <c r="B128" s="109">
        <f>'[1]POOL-joueus'!$B$185</f>
        <v>23.97808219178082</v>
      </c>
      <c r="C128" s="109" t="str">
        <f>'[1]POOL-joueus'!$C$185</f>
        <v>Chi</v>
      </c>
      <c r="D128" s="111" t="str">
        <f>'[1]POOL-joueus'!$D$185</f>
        <v>Dustin Byfuglien</v>
      </c>
      <c r="E128" s="109">
        <f>('[1]POOL-joueus'!$E$185)-41</f>
        <v>19</v>
      </c>
      <c r="F128" s="109">
        <f>('[1]POOL-joueus'!$F$185)-6</f>
        <v>5</v>
      </c>
      <c r="G128" s="109">
        <f>('[1]POOL-joueus'!$G$185)-9</f>
        <v>3</v>
      </c>
      <c r="H128" s="22">
        <f t="shared" si="18"/>
        <v>8</v>
      </c>
      <c r="I128" s="23">
        <f t="shared" si="19"/>
        <v>0.42105263157894735</v>
      </c>
      <c r="L128" s="129"/>
      <c r="M128" s="2"/>
      <c r="N128" s="86" t="s">
        <v>82</v>
      </c>
      <c r="O128" s="86" t="s">
        <v>81</v>
      </c>
      <c r="U128" s="161"/>
    </row>
    <row r="129" spans="2:21" ht="15" customHeight="1">
      <c r="B129" s="107">
        <f>'[1]POOL-joueus'!$B$312</f>
        <v>24.78904109589041</v>
      </c>
      <c r="C129" s="107" t="str">
        <f>'[1]POOL-joueus'!$C$312</f>
        <v>Tor</v>
      </c>
      <c r="D129" s="169" t="str">
        <f>'[1]POOL-joueus'!$D$312</f>
        <v>Ian White</v>
      </c>
      <c r="E129" s="170">
        <f>('[1]POOL-joueus'!$E$312)-9</f>
        <v>49</v>
      </c>
      <c r="F129" s="170">
        <f>('[1]POOL-joueus'!$F$312)-3</f>
        <v>6</v>
      </c>
      <c r="G129" s="170">
        <f>('[1]POOL-joueus'!$G$312)-4</f>
        <v>10</v>
      </c>
      <c r="H129" s="22">
        <f t="shared" si="18"/>
        <v>16</v>
      </c>
      <c r="I129" s="23">
        <f t="shared" si="19"/>
        <v>0.32653061224489793</v>
      </c>
      <c r="L129" s="129"/>
      <c r="M129" s="2"/>
      <c r="N129" s="85" t="s">
        <v>71</v>
      </c>
      <c r="O129" s="87"/>
      <c r="U129" s="161"/>
    </row>
    <row r="130" spans="2:21" ht="15" customHeight="1" thickBot="1">
      <c r="B130" s="183">
        <f>'[1]POOL-joueus'!$B$342</f>
        <v>21.9013698630137</v>
      </c>
      <c r="C130" s="183" t="str">
        <f>'[1]POOL-joueus'!$C$342</f>
        <v>Pit</v>
      </c>
      <c r="D130" s="184" t="str">
        <f>'[1]POOL-joueus'!$D$342</f>
        <v>Kristopher Letang</v>
      </c>
      <c r="E130" s="183">
        <v>29</v>
      </c>
      <c r="F130" s="183">
        <v>6</v>
      </c>
      <c r="G130" s="183">
        <v>5</v>
      </c>
      <c r="H130" s="139">
        <f>SUM(F130:G130)</f>
        <v>11</v>
      </c>
      <c r="I130" s="182">
        <f>H130/E130</f>
        <v>0.3793103448275862</v>
      </c>
      <c r="L130" s="129"/>
      <c r="M130" s="2"/>
      <c r="N130" s="83" t="s">
        <v>72</v>
      </c>
      <c r="O130" s="88">
        <v>13</v>
      </c>
      <c r="U130" s="161"/>
    </row>
    <row r="131" spans="2:21" ht="15" customHeight="1" thickTop="1">
      <c r="B131" s="185">
        <f>'[1]POOL-joueus'!$B$128</f>
        <v>34.010958904109586</v>
      </c>
      <c r="C131" s="185" t="str">
        <f>'[1]POOL-joueus'!$C$128</f>
        <v>Phi</v>
      </c>
      <c r="D131" s="186" t="str">
        <f>'[1]POOL-joueus'!$D$128</f>
        <v>Kimmo Timonen</v>
      </c>
      <c r="E131" s="185">
        <v>2</v>
      </c>
      <c r="F131" s="185">
        <v>0</v>
      </c>
      <c r="G131" s="185">
        <v>0</v>
      </c>
      <c r="H131" s="180">
        <f>SUM(F131:G131)</f>
        <v>0</v>
      </c>
      <c r="I131" s="182">
        <f>H131/E131</f>
        <v>0</v>
      </c>
      <c r="J131" s="142"/>
      <c r="L131" s="129"/>
      <c r="N131" s="91" t="s">
        <v>238</v>
      </c>
      <c r="O131" s="92">
        <f>SUM(O129:O130)</f>
        <v>13</v>
      </c>
      <c r="U131" s="161"/>
    </row>
    <row r="132" spans="2:21" ht="15" customHeight="1">
      <c r="B132" s="109">
        <f>'[1]POOL-joueus'!$B$134</f>
        <v>24.027397260273972</v>
      </c>
      <c r="C132" s="109" t="str">
        <f>'[1]POOL-joueus'!$C$134</f>
        <v>Min</v>
      </c>
      <c r="D132" s="111" t="str">
        <f>'[1]POOL-joueus'!$D$134</f>
        <v>Brent Burns</v>
      </c>
      <c r="E132" s="109">
        <f>('[1]POOL-joueus'!$E$134)-57</f>
        <v>3</v>
      </c>
      <c r="F132" s="109">
        <f>('[1]POOL-joueus'!$F$134)-7</f>
        <v>1</v>
      </c>
      <c r="G132" s="109">
        <f>('[1]POOL-joueus'!$G$134)-18</f>
        <v>1</v>
      </c>
      <c r="H132" s="22">
        <f t="shared" si="18"/>
        <v>2</v>
      </c>
      <c r="I132" s="23">
        <f t="shared" si="19"/>
        <v>0.6666666666666666</v>
      </c>
      <c r="J132" s="1" t="s">
        <v>234</v>
      </c>
      <c r="L132" s="129"/>
      <c r="N132" s="84"/>
      <c r="O132" s="89"/>
      <c r="U132" s="161"/>
    </row>
    <row r="133" spans="2:21" ht="15" customHeight="1">
      <c r="B133" s="185">
        <f>'[1]POOL-joueus'!$B$448</f>
        <v>25.46027397260274</v>
      </c>
      <c r="C133" s="185" t="str">
        <f>'[1]POOL-joueus'!$C$448</f>
        <v>Cgy</v>
      </c>
      <c r="D133" s="208" t="str">
        <f>'[1]POOL-joueus'!$D$448</f>
        <v>Mark Giordano</v>
      </c>
      <c r="E133" s="209">
        <v>23</v>
      </c>
      <c r="F133" s="209">
        <v>1</v>
      </c>
      <c r="G133" s="209">
        <v>8</v>
      </c>
      <c r="H133" s="139">
        <f t="shared" si="18"/>
        <v>9</v>
      </c>
      <c r="I133" s="182">
        <f t="shared" si="19"/>
        <v>0.391304347826087</v>
      </c>
      <c r="L133" s="129"/>
      <c r="N133" s="83" t="s">
        <v>73</v>
      </c>
      <c r="O133" s="90">
        <v>6</v>
      </c>
      <c r="U133" s="161"/>
    </row>
    <row r="134" spans="2:21" ht="15" customHeight="1" thickBot="1">
      <c r="B134" s="183">
        <f>'[1]POOL-joueus'!$B$796</f>
        <v>23.6</v>
      </c>
      <c r="C134" s="140" t="str">
        <f>'[1]POOL-joueus'!$C$796</f>
        <v>L.A.</v>
      </c>
      <c r="D134" s="141" t="str">
        <f>'[1]POOL-joueus'!$D$796</f>
        <v>Kyle Quincey</v>
      </c>
      <c r="E134" s="223">
        <v>8</v>
      </c>
      <c r="F134" s="223">
        <v>1</v>
      </c>
      <c r="G134" s="223">
        <v>4</v>
      </c>
      <c r="H134" s="223">
        <f t="shared" si="18"/>
        <v>5</v>
      </c>
      <c r="I134" s="213">
        <f t="shared" si="19"/>
        <v>0.625</v>
      </c>
      <c r="L134" s="129"/>
      <c r="N134" s="83" t="s">
        <v>74</v>
      </c>
      <c r="O134" s="90">
        <v>39</v>
      </c>
      <c r="U134" s="161"/>
    </row>
    <row r="135" spans="2:21" ht="15" customHeight="1">
      <c r="B135" s="278" t="s">
        <v>7</v>
      </c>
      <c r="C135" s="281"/>
      <c r="D135" s="279"/>
      <c r="E135" s="22">
        <f>SUM(E126:E134)</f>
        <v>191</v>
      </c>
      <c r="F135" s="22">
        <f>SUM(F126:F134)</f>
        <v>25</v>
      </c>
      <c r="G135" s="22">
        <f>SUM(G126:G134)</f>
        <v>49</v>
      </c>
      <c r="H135" s="22">
        <f t="shared" si="18"/>
        <v>74</v>
      </c>
      <c r="I135" s="23">
        <f t="shared" si="19"/>
        <v>0.387434554973822</v>
      </c>
      <c r="L135" s="129"/>
      <c r="N135" s="83" t="s">
        <v>75</v>
      </c>
      <c r="O135" s="90">
        <v>1</v>
      </c>
      <c r="U135" s="161"/>
    </row>
    <row r="136" spans="12:21" ht="15" customHeight="1">
      <c r="L136" s="129"/>
      <c r="N136" s="83" t="s">
        <v>76</v>
      </c>
      <c r="O136" s="90">
        <v>1</v>
      </c>
      <c r="U136" s="161"/>
    </row>
    <row r="137" spans="2:21" ht="15" customHeight="1">
      <c r="B137" s="251" t="s">
        <v>141</v>
      </c>
      <c r="C137" s="252"/>
      <c r="D137" s="252"/>
      <c r="E137" s="252"/>
      <c r="F137" s="252"/>
      <c r="G137" s="252"/>
      <c r="H137" s="252"/>
      <c r="I137" s="252"/>
      <c r="J137" s="252"/>
      <c r="K137" s="253"/>
      <c r="L137" s="129"/>
      <c r="N137" s="83" t="s">
        <v>79</v>
      </c>
      <c r="O137" s="90"/>
      <c r="U137" s="161"/>
    </row>
    <row r="138" spans="2:21" ht="15" customHeight="1" thickBot="1">
      <c r="B138" s="54" t="s">
        <v>15</v>
      </c>
      <c r="C138" s="54" t="s">
        <v>16</v>
      </c>
      <c r="D138" s="54" t="s">
        <v>17</v>
      </c>
      <c r="E138" s="54" t="s">
        <v>2</v>
      </c>
      <c r="F138" s="54" t="s">
        <v>18</v>
      </c>
      <c r="G138" s="54" t="s">
        <v>19</v>
      </c>
      <c r="H138" s="54" t="s">
        <v>20</v>
      </c>
      <c r="I138" s="54" t="s">
        <v>21</v>
      </c>
      <c r="J138" s="54" t="s">
        <v>22</v>
      </c>
      <c r="K138" s="54" t="s">
        <v>6</v>
      </c>
      <c r="N138" s="83" t="s">
        <v>77</v>
      </c>
      <c r="O138" s="90">
        <v>2</v>
      </c>
      <c r="U138" s="161"/>
    </row>
    <row r="139" spans="2:21" ht="15" customHeight="1" thickTop="1">
      <c r="B139" s="108">
        <f>'[1]Pool-gardien'!$B$125</f>
        <v>24.843835616438355</v>
      </c>
      <c r="C139" s="108" t="str">
        <f>'[1]Pool-gardien'!$C$125</f>
        <v>Edm</v>
      </c>
      <c r="D139" s="110" t="str">
        <f>'[1]Pool-gardien'!$D$125</f>
        <v>Jeff Deslauriers</v>
      </c>
      <c r="E139" s="121">
        <f>('[1]Pool-gardien'!$E$125)-1</f>
        <v>7</v>
      </c>
      <c r="F139" s="121">
        <f>('[1]Pool-gardien'!$F$125)</f>
        <v>3</v>
      </c>
      <c r="G139" s="121">
        <f>('[1]Pool-gardien'!$G$125)</f>
        <v>0</v>
      </c>
      <c r="H139" s="121">
        <f>('[1]Pool-gardien'!$H$125)</f>
        <v>0</v>
      </c>
      <c r="I139" s="121">
        <f>('[1]Pool-gardien'!$I$125)</f>
        <v>0</v>
      </c>
      <c r="J139" s="121">
        <f>('[1]Pool-gardien'!$J$125)</f>
        <v>1</v>
      </c>
      <c r="K139" s="43">
        <f>(F139*2)+G139+(H139*4)+(I139*10)+J139</f>
        <v>7</v>
      </c>
      <c r="L139" s="81"/>
      <c r="N139" s="83" t="s">
        <v>78</v>
      </c>
      <c r="O139" s="90">
        <v>2</v>
      </c>
      <c r="U139" s="161"/>
    </row>
    <row r="140" spans="2:21" ht="13.5" thickBot="1">
      <c r="B140" s="108"/>
      <c r="C140" s="108"/>
      <c r="D140" s="110"/>
      <c r="E140" s="137"/>
      <c r="F140" s="137"/>
      <c r="G140" s="137"/>
      <c r="H140" s="137"/>
      <c r="I140" s="137"/>
      <c r="J140" s="137"/>
      <c r="K140" s="36">
        <f>(F140*2)+G140+(H140*4)+(I140*10)+J140</f>
        <v>0</v>
      </c>
      <c r="N140" s="84"/>
      <c r="O140" s="89"/>
      <c r="U140" s="161"/>
    </row>
    <row r="141" spans="2:21" ht="12.75">
      <c r="B141" s="274" t="s">
        <v>26</v>
      </c>
      <c r="C141" s="275"/>
      <c r="D141" s="255"/>
      <c r="E141" s="14">
        <f aca="true" t="shared" si="20" ref="E141:J141">SUM(E138:E140)</f>
        <v>7</v>
      </c>
      <c r="F141" s="14">
        <f t="shared" si="20"/>
        <v>3</v>
      </c>
      <c r="G141" s="14">
        <f t="shared" si="20"/>
        <v>0</v>
      </c>
      <c r="H141" s="14">
        <f t="shared" si="20"/>
        <v>0</v>
      </c>
      <c r="I141" s="14">
        <f t="shared" si="20"/>
        <v>0</v>
      </c>
      <c r="J141" s="14">
        <f t="shared" si="20"/>
        <v>1</v>
      </c>
      <c r="K141" s="14">
        <f>(F141*2)+G141+(H141*4)+(I141*10)+J141</f>
        <v>7</v>
      </c>
      <c r="N141" s="93" t="s">
        <v>80</v>
      </c>
      <c r="O141" s="94">
        <f>SUM(O131:O139)</f>
        <v>64</v>
      </c>
      <c r="U141" s="161"/>
    </row>
    <row r="142" spans="2:21" ht="13.5">
      <c r="B142" s="251" t="s">
        <v>140</v>
      </c>
      <c r="C142" s="252"/>
      <c r="D142" s="252"/>
      <c r="E142" s="252"/>
      <c r="F142" s="252"/>
      <c r="G142" s="252"/>
      <c r="H142" s="252"/>
      <c r="I142" s="253"/>
      <c r="U142" s="161"/>
    </row>
    <row r="143" spans="1:21" ht="13.5" thickBot="1">
      <c r="A143" s="54" t="s">
        <v>143</v>
      </c>
      <c r="B143" s="54" t="s">
        <v>15</v>
      </c>
      <c r="C143" s="54" t="s">
        <v>29</v>
      </c>
      <c r="D143" s="54" t="s">
        <v>17</v>
      </c>
      <c r="E143" s="54" t="s">
        <v>2</v>
      </c>
      <c r="F143" s="54" t="s">
        <v>21</v>
      </c>
      <c r="G143" s="54" t="s">
        <v>30</v>
      </c>
      <c r="H143" s="54" t="s">
        <v>6</v>
      </c>
      <c r="I143" s="54" t="s">
        <v>11</v>
      </c>
      <c r="U143" s="161"/>
    </row>
    <row r="144" spans="1:21" ht="13.5" thickTop="1">
      <c r="A144" s="180" t="s">
        <v>235</v>
      </c>
      <c r="B144" s="180">
        <f>'[1]POOL-joueus'!$B$408</f>
        <v>25.035616438356165</v>
      </c>
      <c r="C144" s="180" t="str">
        <f>'[1]POOL-joueus'!$C$408</f>
        <v>Stl</v>
      </c>
      <c r="D144" s="181" t="str">
        <f>'[1]POOL-joueus'!$D$408</f>
        <v>Steve Wagner</v>
      </c>
      <c r="E144" s="180">
        <v>12</v>
      </c>
      <c r="F144" s="180">
        <v>1</v>
      </c>
      <c r="G144" s="180">
        <v>1</v>
      </c>
      <c r="H144" s="183">
        <f aca="true" t="shared" si="21" ref="H144:H156">SUM(F144:G144)</f>
        <v>2</v>
      </c>
      <c r="I144" s="199">
        <f>H144/E144</f>
        <v>0.16666666666666666</v>
      </c>
      <c r="U144" s="161"/>
    </row>
    <row r="145" spans="1:21" ht="12.75">
      <c r="A145" s="108" t="s">
        <v>144</v>
      </c>
      <c r="B145" s="107">
        <f>'[1]POOL-joueus'!$B$788</f>
        <v>20.15068493150685</v>
      </c>
      <c r="C145" s="107" t="str">
        <f>'[1]POOL-joueus'!$C$788</f>
        <v>L.A.</v>
      </c>
      <c r="D145" s="124" t="str">
        <f>'[1]POOL-joueus'!$D$788</f>
        <v>Oscar Moller</v>
      </c>
      <c r="E145" s="107">
        <f>('[1]POOL-joueus'!$E$788)-15</f>
        <v>20</v>
      </c>
      <c r="F145" s="107">
        <f>('[1]POOL-joueus'!$F$788)-2</f>
        <v>5</v>
      </c>
      <c r="G145" s="107">
        <f>('[1]POOL-joueus'!$G$788)-4</f>
        <v>3</v>
      </c>
      <c r="H145" s="109">
        <f t="shared" si="21"/>
        <v>8</v>
      </c>
      <c r="I145" s="29">
        <f>H145/E145</f>
        <v>0.4</v>
      </c>
      <c r="J145" s="1" t="s">
        <v>77</v>
      </c>
      <c r="U145" s="161"/>
    </row>
    <row r="146" spans="1:21" ht="12.75">
      <c r="A146" s="108" t="s">
        <v>145</v>
      </c>
      <c r="B146" s="106">
        <f>'[1]POOL-joueus'!$B$507</f>
        <v>25.775342465753425</v>
      </c>
      <c r="C146" s="106" t="str">
        <f>'[1]POOL-joueus'!$C$507</f>
        <v>Det</v>
      </c>
      <c r="D146" s="126" t="str">
        <f>'[1]POOL-joueus'!$D$507</f>
        <v>Ville Leino</v>
      </c>
      <c r="E146" s="106">
        <f>(('[1]POOL-joueus'!$E$507)-2)-3</f>
        <v>8</v>
      </c>
      <c r="F146" s="106">
        <f>(('[1]POOL-joueus'!$F$507)-1)-1</f>
        <v>3</v>
      </c>
      <c r="G146" s="106">
        <f>(('[1]POOL-joueus'!$G$507)-1)-0</f>
        <v>3</v>
      </c>
      <c r="H146" s="109">
        <f>SUM(F146:G146)</f>
        <v>6</v>
      </c>
      <c r="I146" s="29">
        <f>H146/E146</f>
        <v>0.75</v>
      </c>
      <c r="U146" s="161"/>
    </row>
    <row r="147" spans="1:21" ht="12.75">
      <c r="A147" s="108" t="s">
        <v>144</v>
      </c>
      <c r="B147" s="108">
        <f>'[1]POOL-joueus'!$B$794</f>
        <v>23.019178082191782</v>
      </c>
      <c r="C147" s="108" t="str">
        <f>'[1]POOL-joueus'!$C$794</f>
        <v>Phx</v>
      </c>
      <c r="D147" s="110" t="str">
        <f>'[1]POOL-joueus'!$D$794</f>
        <v>Kevin Porter</v>
      </c>
      <c r="E147" s="108">
        <f>(('[1]POOL-joueus'!$E$794)-2)-24</f>
        <v>8</v>
      </c>
      <c r="F147" s="108">
        <f>(('[1]POOL-joueus'!$F$794)-0)-5</f>
        <v>0</v>
      </c>
      <c r="G147" s="108">
        <f>(('[1]POOL-joueus'!$G$794)-2)-3</f>
        <v>0</v>
      </c>
      <c r="H147" s="109">
        <f>SUM(F147:G147)</f>
        <v>0</v>
      </c>
      <c r="I147" s="29">
        <f>H147/E147</f>
        <v>0</v>
      </c>
      <c r="U147" s="161"/>
    </row>
    <row r="148" spans="1:21" ht="12.75">
      <c r="A148" s="183" t="s">
        <v>144</v>
      </c>
      <c r="B148" s="183">
        <f>'[1]POOL-joueus'!$B$527</f>
        <v>21.08219178082192</v>
      </c>
      <c r="C148" s="183" t="str">
        <f>'[1]POOL-joueus'!$C$527</f>
        <v>Fla</v>
      </c>
      <c r="D148" s="184" t="str">
        <f>'[1]POOL-joueus'!$D$527</f>
        <v>Michael Frolik</v>
      </c>
      <c r="E148" s="183">
        <v>39</v>
      </c>
      <c r="F148" s="183">
        <v>9</v>
      </c>
      <c r="G148" s="183">
        <v>10</v>
      </c>
      <c r="H148" s="183">
        <f t="shared" si="21"/>
        <v>19</v>
      </c>
      <c r="I148" s="199">
        <f>H148/E148</f>
        <v>0.48717948717948717</v>
      </c>
      <c r="U148" s="161"/>
    </row>
    <row r="149" spans="1:21" ht="12.75">
      <c r="A149" s="180" t="s">
        <v>144</v>
      </c>
      <c r="B149" s="180">
        <f>'[1]POOL-joueus'!$B$771</f>
        <v>20.791780821917808</v>
      </c>
      <c r="C149" s="180" t="str">
        <f>'[1]POOL-joueus'!$C$771</f>
        <v>Stl</v>
      </c>
      <c r="D149" s="181" t="str">
        <f>'[1]POOL-joueus'!$D$771</f>
        <v>Patrik Berglund</v>
      </c>
      <c r="E149" s="183">
        <v>27</v>
      </c>
      <c r="F149" s="183">
        <v>10</v>
      </c>
      <c r="G149" s="183">
        <v>13</v>
      </c>
      <c r="H149" s="183">
        <f t="shared" si="21"/>
        <v>23</v>
      </c>
      <c r="I149" s="199">
        <f aca="true" t="shared" si="22" ref="I149:I155">H149/E149</f>
        <v>0.8518518518518519</v>
      </c>
      <c r="U149" s="161"/>
    </row>
    <row r="150" spans="1:21" ht="12.75">
      <c r="A150" s="201" t="s">
        <v>235</v>
      </c>
      <c r="B150" s="185">
        <f>'[1]POOL-joueus'!$B$770</f>
        <v>24.24931506849315</v>
      </c>
      <c r="C150" s="185" t="str">
        <f>'[1]POOL-joueus'!$C$770</f>
        <v>L.A.</v>
      </c>
      <c r="D150" s="186" t="str">
        <f>'[1]POOL-joueus'!$D$770</f>
        <v>Brian Boyle</v>
      </c>
      <c r="E150" s="185">
        <v>11</v>
      </c>
      <c r="F150" s="185">
        <v>1</v>
      </c>
      <c r="G150" s="185">
        <v>0</v>
      </c>
      <c r="H150" s="183">
        <f t="shared" si="21"/>
        <v>1</v>
      </c>
      <c r="I150" s="199">
        <f t="shared" si="22"/>
        <v>0.09090909090909091</v>
      </c>
      <c r="U150" s="161"/>
    </row>
    <row r="151" spans="1:21" ht="12.75">
      <c r="A151" s="14" t="s">
        <v>235</v>
      </c>
      <c r="B151" s="106">
        <f>'[1]POOL-joueus'!$B$768</f>
        <v>23.635616438356163</v>
      </c>
      <c r="C151" s="106" t="str">
        <f>'[1]POOL-joueus'!$C$768</f>
        <v>Pit</v>
      </c>
      <c r="D151" s="126" t="str">
        <f>'[1]POOL-joueus'!$D$768</f>
        <v>Alex Goligoski</v>
      </c>
      <c r="E151" s="106">
        <f>(('[1]POOL-joueus'!$E$768)-39)-5</f>
        <v>1</v>
      </c>
      <c r="F151" s="106">
        <f>(('[1]POOL-joueus'!$F$768)-6)-0</f>
        <v>0</v>
      </c>
      <c r="G151" s="106">
        <f>(('[1]POOL-joueus'!$G$768)-13)-1</f>
        <v>0</v>
      </c>
      <c r="H151" s="109">
        <f>SUM(F151:G151)</f>
        <v>0</v>
      </c>
      <c r="I151" s="29">
        <f>H151/E151</f>
        <v>0</v>
      </c>
      <c r="U151" s="161"/>
    </row>
    <row r="152" spans="1:21" ht="12.75">
      <c r="A152" s="14" t="s">
        <v>145</v>
      </c>
      <c r="B152" s="107">
        <f>'[1]POOL-joueus'!$B$550</f>
        <v>22.21095890410959</v>
      </c>
      <c r="C152" s="107" t="str">
        <f>'[1]POOL-joueus'!$C$550</f>
        <v>Nsh</v>
      </c>
      <c r="D152" s="124" t="str">
        <f>'[1]POOL-joueus'!$D$550</f>
        <v>Patric Hornqvist</v>
      </c>
      <c r="E152" s="107">
        <f>(('[1]POOL-joueus'!$E$550)-1)-14</f>
        <v>5</v>
      </c>
      <c r="F152" s="107">
        <f>(('[1]POOL-joueus'!$F$550))-2</f>
        <v>0</v>
      </c>
      <c r="G152" s="107">
        <f>(('[1]POOL-joueus'!$G$550))-5</f>
        <v>0</v>
      </c>
      <c r="H152" s="109">
        <f>SUM(F152:G152)</f>
        <v>0</v>
      </c>
      <c r="I152" s="29">
        <f t="shared" si="22"/>
        <v>0</v>
      </c>
      <c r="J152" s="1" t="s">
        <v>77</v>
      </c>
      <c r="U152" s="161"/>
    </row>
    <row r="153" spans="1:21" ht="12.75">
      <c r="A153" s="14" t="s">
        <v>235</v>
      </c>
      <c r="B153" s="107">
        <f>'[1]POOL-joueus'!$B$803</f>
        <v>23.827397260273973</v>
      </c>
      <c r="C153" s="107" t="str">
        <f>'[1]POOL-joueus'!$C$803</f>
        <v>Bos</v>
      </c>
      <c r="D153" s="124" t="str">
        <f>'[1]POOL-joueus'!$D$803</f>
        <v>Matt Hunwick</v>
      </c>
      <c r="E153" s="219">
        <f>(('[1]POOL-joueus'!$E$803)-13)-3</f>
        <v>26</v>
      </c>
      <c r="F153" s="219">
        <f>(('[1]POOL-joueus'!$F$803)-3)</f>
        <v>2</v>
      </c>
      <c r="G153" s="219">
        <f>(('[1]POOL-joueus'!$G$803)-6)</f>
        <v>8</v>
      </c>
      <c r="H153" s="109">
        <f>SUM(F153:G153)</f>
        <v>10</v>
      </c>
      <c r="I153" s="29">
        <f t="shared" si="22"/>
        <v>0.38461538461538464</v>
      </c>
      <c r="U153" s="161"/>
    </row>
    <row r="154" spans="1:21" ht="12" customHeight="1">
      <c r="A154" s="14" t="s">
        <v>144</v>
      </c>
      <c r="B154" s="107">
        <f>'[1]POOL-joueus'!$B$403</f>
        <v>25.13150684931507</v>
      </c>
      <c r="C154" s="107" t="str">
        <f>'[1]POOL-joueus'!$C$403</f>
        <v>Tor</v>
      </c>
      <c r="D154" s="124" t="str">
        <f>'[1]POOL-joueus'!$D$403</f>
        <v>Mikhail Grabovsky</v>
      </c>
      <c r="E154" s="107">
        <f>(('[1]POOL-joueus'!$E$403)-15)-26</f>
        <v>24</v>
      </c>
      <c r="F154" s="107">
        <f>(('[1]POOL-joueus'!$F$403)-7)-4</f>
        <v>3</v>
      </c>
      <c r="G154" s="107">
        <f>(('[1]POOL-joueus'!$G$403)-3)-7</f>
        <v>8</v>
      </c>
      <c r="H154" s="109">
        <f>SUM(F154:G154)</f>
        <v>11</v>
      </c>
      <c r="I154" s="29">
        <f t="shared" si="22"/>
        <v>0.4583333333333333</v>
      </c>
      <c r="U154" s="161"/>
    </row>
    <row r="155" spans="1:21" ht="12.75">
      <c r="A155" s="201" t="s">
        <v>235</v>
      </c>
      <c r="B155" s="185">
        <f>'[1]POOL-joueus'!$B$798</f>
        <v>19.12876712328767</v>
      </c>
      <c r="C155" s="185" t="str">
        <f>'[1]POOL-joueus'!$C$798</f>
        <v>Phi</v>
      </c>
      <c r="D155" s="186" t="str">
        <f>'[1]POOL-joueus'!$D$798</f>
        <v>Luca Sbisa</v>
      </c>
      <c r="E155" s="214">
        <v>1</v>
      </c>
      <c r="F155" s="214">
        <v>0</v>
      </c>
      <c r="G155" s="214">
        <v>1</v>
      </c>
      <c r="H155" s="183">
        <f>SUM(F155:G155)</f>
        <v>1</v>
      </c>
      <c r="I155" s="199">
        <f t="shared" si="22"/>
        <v>1</v>
      </c>
      <c r="U155" s="161"/>
    </row>
    <row r="156" spans="1:21" ht="13.5" thickBot="1">
      <c r="A156" s="14"/>
      <c r="B156" s="107"/>
      <c r="C156" s="107"/>
      <c r="D156" s="124"/>
      <c r="E156" s="123"/>
      <c r="F156" s="123"/>
      <c r="G156" s="123"/>
      <c r="H156" s="113">
        <f t="shared" si="21"/>
        <v>0</v>
      </c>
      <c r="I156" s="41" t="e">
        <f>H156/E156</f>
        <v>#DIV/0!</v>
      </c>
      <c r="U156" s="161"/>
    </row>
    <row r="157" spans="2:21" ht="12.75">
      <c r="B157" s="278" t="s">
        <v>7</v>
      </c>
      <c r="C157" s="281"/>
      <c r="D157" s="279"/>
      <c r="E157" s="22">
        <f>SUM(E144:E156)</f>
        <v>182</v>
      </c>
      <c r="F157" s="22">
        <f>SUM(F144:F156)</f>
        <v>34</v>
      </c>
      <c r="G157" s="22">
        <f>SUM(G144:G156)</f>
        <v>47</v>
      </c>
      <c r="H157" s="22">
        <f>SUM(H144:H156)</f>
        <v>81</v>
      </c>
      <c r="I157" s="23">
        <f>H157/E157</f>
        <v>0.44505494505494503</v>
      </c>
      <c r="U157" s="161"/>
    </row>
    <row r="158" spans="2:21" ht="12.75">
      <c r="B158" s="76"/>
      <c r="C158" s="76"/>
      <c r="D158" s="76"/>
      <c r="E158" s="53"/>
      <c r="F158" s="53"/>
      <c r="G158" s="53"/>
      <c r="H158" s="53"/>
      <c r="I158" s="77"/>
      <c r="U158" s="161"/>
    </row>
    <row r="159" spans="2:21" ht="12.75">
      <c r="B159" s="278" t="s">
        <v>142</v>
      </c>
      <c r="C159" s="281"/>
      <c r="D159" s="279"/>
      <c r="E159" s="109">
        <f>E141+E157</f>
        <v>189</v>
      </c>
      <c r="F159" s="112"/>
      <c r="G159" s="112"/>
      <c r="H159" s="28">
        <f>K141+H157</f>
        <v>88</v>
      </c>
      <c r="I159" s="29">
        <f>H159/E159</f>
        <v>0.4656084656084656</v>
      </c>
      <c r="U159" s="161"/>
    </row>
    <row r="160" spans="2:21" ht="12.75">
      <c r="B160" s="76"/>
      <c r="C160" s="76"/>
      <c r="D160" s="76"/>
      <c r="E160" s="53"/>
      <c r="F160" s="53"/>
      <c r="G160" s="53"/>
      <c r="H160" s="53"/>
      <c r="I160" s="77"/>
      <c r="U160" s="161"/>
    </row>
    <row r="161" spans="2:21" ht="12.75">
      <c r="B161" s="78"/>
      <c r="C161" s="78"/>
      <c r="D161" s="78"/>
      <c r="E161" s="79"/>
      <c r="F161" s="79"/>
      <c r="G161" s="79"/>
      <c r="H161" s="79"/>
      <c r="I161" s="80"/>
      <c r="J161" s="81"/>
      <c r="K161" s="81"/>
      <c r="U161" s="161"/>
    </row>
    <row r="162" ht="13.5" thickBot="1">
      <c r="U162" s="161"/>
    </row>
    <row r="163" spans="2:21" ht="13.5" thickBot="1">
      <c r="B163" s="284" t="s">
        <v>49</v>
      </c>
      <c r="C163" s="285"/>
      <c r="D163" s="285"/>
      <c r="E163" s="285"/>
      <c r="F163" s="285"/>
      <c r="G163" s="285"/>
      <c r="H163" s="285"/>
      <c r="I163" s="285"/>
      <c r="J163" s="285"/>
      <c r="K163" s="286"/>
      <c r="U163" s="161"/>
    </row>
    <row r="164" spans="2:11" ht="12.75">
      <c r="B164" s="287" t="s">
        <v>50</v>
      </c>
      <c r="C164" s="288"/>
      <c r="D164" s="58" t="s">
        <v>51</v>
      </c>
      <c r="E164" s="313" t="s">
        <v>52</v>
      </c>
      <c r="F164" s="314"/>
      <c r="G164" s="287" t="s">
        <v>53</v>
      </c>
      <c r="H164" s="289"/>
      <c r="I164" s="288"/>
      <c r="J164" s="313" t="s">
        <v>54</v>
      </c>
      <c r="K164" s="314"/>
    </row>
    <row r="165" spans="2:11" ht="12.75">
      <c r="B165" s="259" t="s">
        <v>207</v>
      </c>
      <c r="C165" s="260"/>
      <c r="D165" s="47" t="s">
        <v>208</v>
      </c>
      <c r="E165" s="259" t="s">
        <v>192</v>
      </c>
      <c r="F165" s="260"/>
      <c r="G165" s="259" t="s">
        <v>209</v>
      </c>
      <c r="H165" s="261"/>
      <c r="I165" s="260"/>
      <c r="J165" s="259" t="s">
        <v>204</v>
      </c>
      <c r="K165" s="260"/>
    </row>
    <row r="166" spans="2:11" ht="12.75">
      <c r="B166" s="259" t="s">
        <v>207</v>
      </c>
      <c r="C166" s="260"/>
      <c r="D166" s="47" t="s">
        <v>226</v>
      </c>
      <c r="E166" s="259" t="s">
        <v>192</v>
      </c>
      <c r="F166" s="260"/>
      <c r="G166" s="259" t="s">
        <v>227</v>
      </c>
      <c r="H166" s="261"/>
      <c r="I166" s="260"/>
      <c r="J166" s="259" t="s">
        <v>223</v>
      </c>
      <c r="K166" s="260"/>
    </row>
    <row r="167" spans="2:11" ht="12.75">
      <c r="B167" s="259" t="s">
        <v>239</v>
      </c>
      <c r="C167" s="260"/>
      <c r="D167" s="47" t="s">
        <v>240</v>
      </c>
      <c r="E167" s="259" t="s">
        <v>241</v>
      </c>
      <c r="F167" s="260"/>
      <c r="G167" s="259" t="s">
        <v>242</v>
      </c>
      <c r="H167" s="261"/>
      <c r="I167" s="260"/>
      <c r="J167" s="259" t="s">
        <v>243</v>
      </c>
      <c r="K167" s="260"/>
    </row>
    <row r="168" spans="2:11" ht="12.75">
      <c r="B168" s="259" t="s">
        <v>239</v>
      </c>
      <c r="C168" s="260"/>
      <c r="D168" s="47" t="s">
        <v>268</v>
      </c>
      <c r="E168" s="259" t="s">
        <v>241</v>
      </c>
      <c r="F168" s="260"/>
      <c r="G168" s="259" t="s">
        <v>272</v>
      </c>
      <c r="H168" s="261"/>
      <c r="I168" s="260"/>
      <c r="J168" s="259" t="s">
        <v>273</v>
      </c>
      <c r="K168" s="260"/>
    </row>
    <row r="169" spans="2:11" ht="12.75">
      <c r="B169" s="259" t="s">
        <v>234</v>
      </c>
      <c r="C169" s="260"/>
      <c r="D169" s="151" t="s">
        <v>276</v>
      </c>
      <c r="E169" s="259" t="s">
        <v>250</v>
      </c>
      <c r="F169" s="260"/>
      <c r="G169" s="262" t="s">
        <v>277</v>
      </c>
      <c r="H169" s="291"/>
      <c r="I169" s="292"/>
      <c r="J169" s="259" t="s">
        <v>278</v>
      </c>
      <c r="K169" s="260"/>
    </row>
    <row r="170" spans="2:11" ht="12.75">
      <c r="B170" s="259" t="s">
        <v>239</v>
      </c>
      <c r="C170" s="260"/>
      <c r="D170" s="47" t="s">
        <v>311</v>
      </c>
      <c r="E170" s="259" t="s">
        <v>241</v>
      </c>
      <c r="F170" s="260"/>
      <c r="G170" s="259" t="s">
        <v>312</v>
      </c>
      <c r="H170" s="261"/>
      <c r="I170" s="260"/>
      <c r="J170" s="259" t="s">
        <v>313</v>
      </c>
      <c r="K170" s="260"/>
    </row>
    <row r="171" spans="2:11" ht="12.75">
      <c r="B171" s="259" t="s">
        <v>236</v>
      </c>
      <c r="C171" s="260"/>
      <c r="D171" s="47" t="s">
        <v>345</v>
      </c>
      <c r="E171" s="259" t="s">
        <v>250</v>
      </c>
      <c r="F171" s="260"/>
      <c r="G171" s="259" t="s">
        <v>346</v>
      </c>
      <c r="H171" s="261"/>
      <c r="I171" s="260"/>
      <c r="J171" s="259" t="s">
        <v>347</v>
      </c>
      <c r="K171" s="260"/>
    </row>
    <row r="172" spans="2:11" ht="12.75">
      <c r="B172" s="259" t="s">
        <v>239</v>
      </c>
      <c r="C172" s="260"/>
      <c r="D172" s="47" t="s">
        <v>396</v>
      </c>
      <c r="E172" s="259" t="s">
        <v>241</v>
      </c>
      <c r="F172" s="260"/>
      <c r="G172" s="259" t="s">
        <v>397</v>
      </c>
      <c r="H172" s="261"/>
      <c r="I172" s="260"/>
      <c r="J172" s="259" t="s">
        <v>398</v>
      </c>
      <c r="K172" s="260"/>
    </row>
    <row r="173" spans="2:11" ht="12.75">
      <c r="B173" s="259" t="s">
        <v>239</v>
      </c>
      <c r="C173" s="260"/>
      <c r="D173" s="47" t="s">
        <v>399</v>
      </c>
      <c r="E173" s="259" t="s">
        <v>241</v>
      </c>
      <c r="F173" s="260"/>
      <c r="G173" s="259" t="s">
        <v>400</v>
      </c>
      <c r="H173" s="261"/>
      <c r="I173" s="260"/>
      <c r="J173" s="259" t="s">
        <v>398</v>
      </c>
      <c r="K173" s="260"/>
    </row>
    <row r="174" spans="2:11" ht="12.75">
      <c r="B174" s="259" t="s">
        <v>234</v>
      </c>
      <c r="C174" s="260"/>
      <c r="D174" s="47" t="s">
        <v>439</v>
      </c>
      <c r="E174" s="259" t="s">
        <v>250</v>
      </c>
      <c r="F174" s="260"/>
      <c r="G174" s="259" t="s">
        <v>397</v>
      </c>
      <c r="H174" s="261"/>
      <c r="I174" s="260"/>
      <c r="J174" s="259" t="s">
        <v>440</v>
      </c>
      <c r="K174" s="260"/>
    </row>
    <row r="175" spans="2:11" ht="12.75">
      <c r="B175" s="259" t="s">
        <v>454</v>
      </c>
      <c r="C175" s="260"/>
      <c r="D175" s="47" t="s">
        <v>455</v>
      </c>
      <c r="E175" s="259" t="s">
        <v>250</v>
      </c>
      <c r="F175" s="260"/>
      <c r="G175" s="259" t="s">
        <v>456</v>
      </c>
      <c r="H175" s="261"/>
      <c r="I175" s="260"/>
      <c r="J175" s="259" t="s">
        <v>457</v>
      </c>
      <c r="K175" s="260"/>
    </row>
    <row r="176" spans="2:11" ht="12.75">
      <c r="B176" s="259" t="s">
        <v>308</v>
      </c>
      <c r="C176" s="260"/>
      <c r="D176" s="47" t="s">
        <v>470</v>
      </c>
      <c r="E176" s="259" t="s">
        <v>250</v>
      </c>
      <c r="F176" s="260"/>
      <c r="G176" s="259" t="s">
        <v>439</v>
      </c>
      <c r="H176" s="261"/>
      <c r="I176" s="260"/>
      <c r="J176" s="259" t="s">
        <v>471</v>
      </c>
      <c r="K176" s="260"/>
    </row>
    <row r="177" spans="2:11" ht="12.75">
      <c r="B177" s="259" t="s">
        <v>239</v>
      </c>
      <c r="C177" s="260"/>
      <c r="D177" s="47" t="s">
        <v>476</v>
      </c>
      <c r="E177" s="259" t="s">
        <v>241</v>
      </c>
      <c r="F177" s="260"/>
      <c r="G177" s="259" t="s">
        <v>477</v>
      </c>
      <c r="H177" s="261"/>
      <c r="I177" s="260"/>
      <c r="J177" s="259" t="s">
        <v>478</v>
      </c>
      <c r="K177" s="260"/>
    </row>
    <row r="178" spans="2:11" ht="12.75">
      <c r="B178" s="259" t="s">
        <v>234</v>
      </c>
      <c r="C178" s="260"/>
      <c r="D178" s="47" t="s">
        <v>496</v>
      </c>
      <c r="E178" s="259" t="s">
        <v>250</v>
      </c>
      <c r="F178" s="260"/>
      <c r="G178" s="259" t="s">
        <v>497</v>
      </c>
      <c r="H178" s="261"/>
      <c r="I178" s="260"/>
      <c r="J178" s="259" t="s">
        <v>498</v>
      </c>
      <c r="K178" s="260"/>
    </row>
    <row r="179" spans="2:11" ht="12.75">
      <c r="B179" s="259" t="s">
        <v>510</v>
      </c>
      <c r="C179" s="260"/>
      <c r="D179" s="47" t="s">
        <v>508</v>
      </c>
      <c r="E179" s="259" t="s">
        <v>250</v>
      </c>
      <c r="F179" s="260"/>
      <c r="G179" s="259" t="s">
        <v>455</v>
      </c>
      <c r="H179" s="261"/>
      <c r="I179" s="260"/>
      <c r="J179" s="259" t="s">
        <v>509</v>
      </c>
      <c r="K179" s="260"/>
    </row>
    <row r="180" spans="2:11" ht="12.75">
      <c r="B180" s="259" t="s">
        <v>239</v>
      </c>
      <c r="C180" s="260"/>
      <c r="D180" s="47" t="s">
        <v>524</v>
      </c>
      <c r="E180" s="259" t="s">
        <v>241</v>
      </c>
      <c r="F180" s="260"/>
      <c r="G180" s="259" t="s">
        <v>525</v>
      </c>
      <c r="H180" s="261"/>
      <c r="I180" s="260"/>
      <c r="J180" s="259" t="s">
        <v>526</v>
      </c>
      <c r="K180" s="260"/>
    </row>
    <row r="181" spans="2:11" ht="12.75">
      <c r="B181" s="259" t="s">
        <v>239</v>
      </c>
      <c r="C181" s="260"/>
      <c r="D181" s="47" t="s">
        <v>565</v>
      </c>
      <c r="E181" s="259" t="s">
        <v>250</v>
      </c>
      <c r="F181" s="260"/>
      <c r="G181" s="259" t="s">
        <v>566</v>
      </c>
      <c r="H181" s="261"/>
      <c r="I181" s="260"/>
      <c r="J181" s="259" t="s">
        <v>567</v>
      </c>
      <c r="K181" s="260"/>
    </row>
    <row r="182" spans="2:11" ht="12.75">
      <c r="B182" s="259" t="s">
        <v>234</v>
      </c>
      <c r="C182" s="260"/>
      <c r="D182" s="47" t="s">
        <v>272</v>
      </c>
      <c r="E182" s="259" t="s">
        <v>250</v>
      </c>
      <c r="F182" s="260"/>
      <c r="G182" s="259" t="s">
        <v>581</v>
      </c>
      <c r="H182" s="261"/>
      <c r="I182" s="260"/>
      <c r="J182" s="259" t="s">
        <v>582</v>
      </c>
      <c r="K182" s="260"/>
    </row>
    <row r="183" spans="2:11" ht="12.75">
      <c r="B183" s="259" t="s">
        <v>308</v>
      </c>
      <c r="C183" s="260"/>
      <c r="D183" s="47" t="s">
        <v>397</v>
      </c>
      <c r="E183" s="259" t="s">
        <v>250</v>
      </c>
      <c r="F183" s="260"/>
      <c r="G183" s="259" t="s">
        <v>439</v>
      </c>
      <c r="H183" s="261"/>
      <c r="I183" s="260"/>
      <c r="J183" s="259" t="s">
        <v>593</v>
      </c>
      <c r="K183" s="260"/>
    </row>
    <row r="184" spans="2:11" ht="12.75">
      <c r="B184" s="259" t="s">
        <v>234</v>
      </c>
      <c r="C184" s="260"/>
      <c r="D184" s="47" t="s">
        <v>597</v>
      </c>
      <c r="E184" s="259" t="s">
        <v>250</v>
      </c>
      <c r="F184" s="260"/>
      <c r="G184" s="259" t="s">
        <v>598</v>
      </c>
      <c r="H184" s="261"/>
      <c r="I184" s="260"/>
      <c r="J184" s="259" t="s">
        <v>599</v>
      </c>
      <c r="K184" s="260"/>
    </row>
    <row r="185" spans="2:11" ht="12.75">
      <c r="B185" s="259" t="s">
        <v>207</v>
      </c>
      <c r="C185" s="260"/>
      <c r="D185" s="47" t="s">
        <v>346</v>
      </c>
      <c r="E185" s="259" t="s">
        <v>232</v>
      </c>
      <c r="F185" s="260"/>
      <c r="G185" s="259" t="s">
        <v>615</v>
      </c>
      <c r="H185" s="261"/>
      <c r="I185" s="260"/>
      <c r="J185" s="259" t="s">
        <v>616</v>
      </c>
      <c r="K185" s="260"/>
    </row>
    <row r="186" spans="2:11" ht="12.75">
      <c r="B186" s="259" t="s">
        <v>563</v>
      </c>
      <c r="C186" s="260"/>
      <c r="D186" s="259" t="s">
        <v>617</v>
      </c>
      <c r="E186" s="261"/>
      <c r="F186" s="261"/>
      <c r="G186" s="261"/>
      <c r="H186" s="261"/>
      <c r="I186" s="260"/>
      <c r="J186" s="259" t="s">
        <v>616</v>
      </c>
      <c r="K186" s="260"/>
    </row>
    <row r="187" spans="2:11" ht="12.75">
      <c r="B187" s="259" t="s">
        <v>308</v>
      </c>
      <c r="C187" s="260"/>
      <c r="D187" s="47" t="s">
        <v>632</v>
      </c>
      <c r="E187" s="259" t="s">
        <v>250</v>
      </c>
      <c r="F187" s="260"/>
      <c r="G187" s="259" t="s">
        <v>493</v>
      </c>
      <c r="H187" s="261"/>
      <c r="I187" s="260"/>
      <c r="J187" s="259" t="s">
        <v>633</v>
      </c>
      <c r="K187" s="260"/>
    </row>
    <row r="188" spans="2:11" ht="12.75">
      <c r="B188" s="259" t="s">
        <v>239</v>
      </c>
      <c r="C188" s="260"/>
      <c r="D188" s="47" t="s">
        <v>640</v>
      </c>
      <c r="E188" s="259" t="s">
        <v>241</v>
      </c>
      <c r="F188" s="260"/>
      <c r="G188" s="259" t="s">
        <v>641</v>
      </c>
      <c r="H188" s="261"/>
      <c r="I188" s="260"/>
      <c r="J188" s="259" t="s">
        <v>639</v>
      </c>
      <c r="K188" s="260"/>
    </row>
    <row r="189" spans="2:11" ht="12.75">
      <c r="B189" s="259" t="s">
        <v>77</v>
      </c>
      <c r="C189" s="260"/>
      <c r="D189" s="47" t="s">
        <v>649</v>
      </c>
      <c r="E189" s="259" t="s">
        <v>250</v>
      </c>
      <c r="F189" s="260"/>
      <c r="G189" s="259" t="s">
        <v>272</v>
      </c>
      <c r="H189" s="261"/>
      <c r="I189" s="260"/>
      <c r="J189" s="259" t="s">
        <v>650</v>
      </c>
      <c r="K189" s="260"/>
    </row>
    <row r="190" spans="2:11" ht="12.75">
      <c r="B190" s="259" t="s">
        <v>234</v>
      </c>
      <c r="C190" s="260"/>
      <c r="D190" s="47" t="s">
        <v>655</v>
      </c>
      <c r="E190" s="259" t="s">
        <v>250</v>
      </c>
      <c r="F190" s="260"/>
      <c r="G190" s="259" t="s">
        <v>525</v>
      </c>
      <c r="H190" s="261"/>
      <c r="I190" s="260"/>
      <c r="J190" s="259" t="s">
        <v>656</v>
      </c>
      <c r="K190" s="260"/>
    </row>
    <row r="191" spans="2:11" ht="12.75">
      <c r="B191" s="259" t="s">
        <v>234</v>
      </c>
      <c r="C191" s="260"/>
      <c r="D191" s="47" t="s">
        <v>597</v>
      </c>
      <c r="E191" s="259" t="s">
        <v>250</v>
      </c>
      <c r="F191" s="260"/>
      <c r="G191" s="259" t="s">
        <v>508</v>
      </c>
      <c r="H191" s="261"/>
      <c r="I191" s="260"/>
      <c r="J191" s="259" t="s">
        <v>688</v>
      </c>
      <c r="K191" s="260"/>
    </row>
    <row r="192" spans="2:11" ht="12.75">
      <c r="B192" s="259" t="s">
        <v>234</v>
      </c>
      <c r="C192" s="260"/>
      <c r="D192" s="47" t="s">
        <v>685</v>
      </c>
      <c r="E192" s="259" t="s">
        <v>250</v>
      </c>
      <c r="F192" s="260"/>
      <c r="G192" s="259" t="s">
        <v>686</v>
      </c>
      <c r="H192" s="261"/>
      <c r="I192" s="260"/>
      <c r="J192" s="259" t="s">
        <v>687</v>
      </c>
      <c r="K192" s="260"/>
    </row>
    <row r="193" spans="2:11" ht="12.75">
      <c r="B193" s="259" t="s">
        <v>234</v>
      </c>
      <c r="C193" s="260"/>
      <c r="D193" s="47" t="s">
        <v>698</v>
      </c>
      <c r="E193" s="259" t="s">
        <v>250</v>
      </c>
      <c r="F193" s="260"/>
      <c r="G193" s="259" t="s">
        <v>699</v>
      </c>
      <c r="H193" s="261"/>
      <c r="I193" s="260"/>
      <c r="J193" s="259" t="s">
        <v>700</v>
      </c>
      <c r="K193" s="260"/>
    </row>
    <row r="194" spans="2:11" ht="12.75">
      <c r="B194" s="259" t="s">
        <v>239</v>
      </c>
      <c r="C194" s="260"/>
      <c r="D194" s="47" t="s">
        <v>720</v>
      </c>
      <c r="E194" s="259" t="s">
        <v>241</v>
      </c>
      <c r="F194" s="260"/>
      <c r="G194" s="259" t="s">
        <v>721</v>
      </c>
      <c r="H194" s="261"/>
      <c r="I194" s="260"/>
      <c r="J194" s="259" t="s">
        <v>722</v>
      </c>
      <c r="K194" s="260"/>
    </row>
    <row r="195" spans="2:11" ht="12.75">
      <c r="B195" s="259" t="s">
        <v>207</v>
      </c>
      <c r="C195" s="260"/>
      <c r="D195" s="47" t="s">
        <v>615</v>
      </c>
      <c r="E195" s="259" t="s">
        <v>192</v>
      </c>
      <c r="F195" s="260"/>
      <c r="G195" s="259" t="s">
        <v>705</v>
      </c>
      <c r="H195" s="261"/>
      <c r="I195" s="260"/>
      <c r="J195" s="259" t="s">
        <v>730</v>
      </c>
      <c r="K195" s="260"/>
    </row>
    <row r="196" spans="2:11" ht="12.75">
      <c r="B196" s="259" t="s">
        <v>239</v>
      </c>
      <c r="C196" s="260"/>
      <c r="D196" s="47" t="s">
        <v>731</v>
      </c>
      <c r="E196" s="259" t="s">
        <v>241</v>
      </c>
      <c r="F196" s="260"/>
      <c r="G196" s="259" t="s">
        <v>732</v>
      </c>
      <c r="H196" s="261"/>
      <c r="I196" s="260"/>
      <c r="J196" s="259" t="s">
        <v>733</v>
      </c>
      <c r="K196" s="260"/>
    </row>
    <row r="197" spans="2:11" ht="12.75">
      <c r="B197" s="259" t="s">
        <v>239</v>
      </c>
      <c r="C197" s="260"/>
      <c r="D197" s="47" t="s">
        <v>742</v>
      </c>
      <c r="E197" s="259" t="s">
        <v>241</v>
      </c>
      <c r="F197" s="260"/>
      <c r="G197" s="259" t="s">
        <v>743</v>
      </c>
      <c r="H197" s="261"/>
      <c r="I197" s="260"/>
      <c r="J197" s="259" t="s">
        <v>744</v>
      </c>
      <c r="K197" s="260"/>
    </row>
    <row r="198" spans="2:11" ht="12.75">
      <c r="B198" s="259" t="s">
        <v>308</v>
      </c>
      <c r="C198" s="260"/>
      <c r="D198" s="47" t="s">
        <v>721</v>
      </c>
      <c r="E198" s="259" t="s">
        <v>250</v>
      </c>
      <c r="F198" s="260"/>
      <c r="G198" s="259" t="s">
        <v>597</v>
      </c>
      <c r="H198" s="261"/>
      <c r="I198" s="260"/>
      <c r="J198" s="259" t="s">
        <v>779</v>
      </c>
      <c r="K198" s="260"/>
    </row>
    <row r="199" spans="2:11" ht="12.75">
      <c r="B199" s="259" t="s">
        <v>234</v>
      </c>
      <c r="C199" s="260"/>
      <c r="D199" s="47" t="s">
        <v>780</v>
      </c>
      <c r="E199" s="259" t="s">
        <v>250</v>
      </c>
      <c r="F199" s="260"/>
      <c r="G199" s="259" t="s">
        <v>743</v>
      </c>
      <c r="H199" s="261"/>
      <c r="I199" s="260"/>
      <c r="J199" s="259" t="s">
        <v>781</v>
      </c>
      <c r="K199" s="260"/>
    </row>
    <row r="200" spans="2:11" ht="12.75">
      <c r="B200" s="259" t="s">
        <v>308</v>
      </c>
      <c r="C200" s="260"/>
      <c r="D200" s="47" t="s">
        <v>782</v>
      </c>
      <c r="E200" s="259" t="s">
        <v>250</v>
      </c>
      <c r="F200" s="260"/>
      <c r="G200" s="259" t="s">
        <v>655</v>
      </c>
      <c r="H200" s="261"/>
      <c r="I200" s="260"/>
      <c r="J200" s="259" t="s">
        <v>783</v>
      </c>
      <c r="K200" s="260"/>
    </row>
    <row r="201" spans="2:11" ht="12.75">
      <c r="B201" s="259" t="s">
        <v>308</v>
      </c>
      <c r="C201" s="260"/>
      <c r="D201" s="47" t="s">
        <v>277</v>
      </c>
      <c r="E201" s="259" t="s">
        <v>250</v>
      </c>
      <c r="F201" s="260"/>
      <c r="G201" s="259" t="s">
        <v>228</v>
      </c>
      <c r="H201" s="261"/>
      <c r="I201" s="260"/>
      <c r="J201" s="259" t="s">
        <v>793</v>
      </c>
      <c r="K201" s="260"/>
    </row>
    <row r="202" spans="2:11" ht="12.75">
      <c r="B202" s="259" t="s">
        <v>77</v>
      </c>
      <c r="C202" s="260"/>
      <c r="D202" s="47" t="s">
        <v>272</v>
      </c>
      <c r="E202" s="259" t="s">
        <v>250</v>
      </c>
      <c r="F202" s="260"/>
      <c r="G202" s="259" t="s">
        <v>802</v>
      </c>
      <c r="H202" s="261"/>
      <c r="I202" s="260"/>
      <c r="J202" s="259" t="s">
        <v>803</v>
      </c>
      <c r="K202" s="260"/>
    </row>
    <row r="203" spans="2:11" ht="12.75">
      <c r="B203" s="259" t="s">
        <v>207</v>
      </c>
      <c r="C203" s="260"/>
      <c r="D203" s="47" t="s">
        <v>477</v>
      </c>
      <c r="E203" s="259" t="s">
        <v>250</v>
      </c>
      <c r="F203" s="260"/>
      <c r="G203" s="259" t="s">
        <v>340</v>
      </c>
      <c r="H203" s="261"/>
      <c r="I203" s="260"/>
      <c r="J203" s="259" t="s">
        <v>808</v>
      </c>
      <c r="K203" s="260"/>
    </row>
    <row r="204" spans="2:11" ht="12.75">
      <c r="B204" s="259"/>
      <c r="C204" s="260"/>
      <c r="D204" s="259" t="s">
        <v>810</v>
      </c>
      <c r="E204" s="261"/>
      <c r="F204" s="261"/>
      <c r="G204" s="261"/>
      <c r="H204" s="261"/>
      <c r="I204" s="260"/>
      <c r="J204" s="259" t="s">
        <v>811</v>
      </c>
      <c r="K204" s="260"/>
    </row>
    <row r="205" spans="2:11" ht="12.75">
      <c r="B205" s="259" t="s">
        <v>234</v>
      </c>
      <c r="C205" s="260"/>
      <c r="D205" s="47" t="s">
        <v>597</v>
      </c>
      <c r="E205" s="259" t="s">
        <v>250</v>
      </c>
      <c r="F205" s="260"/>
      <c r="G205" s="259" t="s">
        <v>705</v>
      </c>
      <c r="H205" s="261"/>
      <c r="I205" s="260"/>
      <c r="J205" s="259" t="s">
        <v>811</v>
      </c>
      <c r="K205" s="260"/>
    </row>
    <row r="206" spans="2:11" ht="12.75">
      <c r="B206" s="259" t="s">
        <v>234</v>
      </c>
      <c r="C206" s="260"/>
      <c r="D206" s="47" t="s">
        <v>818</v>
      </c>
      <c r="E206" s="259" t="s">
        <v>250</v>
      </c>
      <c r="F206" s="260"/>
      <c r="G206" s="259" t="s">
        <v>685</v>
      </c>
      <c r="H206" s="261"/>
      <c r="I206" s="260"/>
      <c r="J206" s="259" t="s">
        <v>819</v>
      </c>
      <c r="K206" s="260"/>
    </row>
    <row r="207" spans="2:11" ht="12.75">
      <c r="B207" s="259" t="s">
        <v>234</v>
      </c>
      <c r="C207" s="260"/>
      <c r="D207" s="47" t="s">
        <v>843</v>
      </c>
      <c r="E207" s="259" t="s">
        <v>250</v>
      </c>
      <c r="F207" s="260"/>
      <c r="G207" s="259" t="s">
        <v>277</v>
      </c>
      <c r="H207" s="261"/>
      <c r="I207" s="260"/>
      <c r="J207" s="259" t="s">
        <v>844</v>
      </c>
      <c r="K207" s="260"/>
    </row>
    <row r="208" spans="2:11" ht="12.75">
      <c r="B208" s="259" t="s">
        <v>234</v>
      </c>
      <c r="C208" s="260"/>
      <c r="D208" s="47" t="s">
        <v>209</v>
      </c>
      <c r="E208" s="259" t="s">
        <v>250</v>
      </c>
      <c r="F208" s="260"/>
      <c r="G208" s="259" t="s">
        <v>732</v>
      </c>
      <c r="H208" s="261"/>
      <c r="I208" s="260"/>
      <c r="J208" s="259" t="s">
        <v>871</v>
      </c>
      <c r="K208" s="260"/>
    </row>
    <row r="209" spans="2:11" ht="12.75">
      <c r="B209" s="259" t="s">
        <v>234</v>
      </c>
      <c r="C209" s="260"/>
      <c r="D209" s="47" t="s">
        <v>886</v>
      </c>
      <c r="E209" s="259" t="s">
        <v>250</v>
      </c>
      <c r="F209" s="260"/>
      <c r="G209" s="259" t="s">
        <v>698</v>
      </c>
      <c r="H209" s="261"/>
      <c r="I209" s="260"/>
      <c r="J209" s="259" t="s">
        <v>887</v>
      </c>
      <c r="K209" s="260"/>
    </row>
    <row r="210" spans="2:11" ht="12.75">
      <c r="B210" s="259" t="s">
        <v>308</v>
      </c>
      <c r="C210" s="260"/>
      <c r="D210" s="47" t="s">
        <v>894</v>
      </c>
      <c r="E210" s="259" t="s">
        <v>250</v>
      </c>
      <c r="F210" s="260"/>
      <c r="G210" s="259" t="s">
        <v>597</v>
      </c>
      <c r="H210" s="261"/>
      <c r="I210" s="260"/>
      <c r="J210" s="259" t="s">
        <v>895</v>
      </c>
      <c r="K210" s="260"/>
    </row>
    <row r="211" spans="2:11" ht="12.75">
      <c r="B211" s="259" t="s">
        <v>308</v>
      </c>
      <c r="C211" s="260"/>
      <c r="D211" s="47" t="s">
        <v>732</v>
      </c>
      <c r="E211" s="259" t="s">
        <v>250</v>
      </c>
      <c r="F211" s="260"/>
      <c r="G211" s="259" t="s">
        <v>209</v>
      </c>
      <c r="H211" s="261"/>
      <c r="I211" s="260"/>
      <c r="J211" s="259" t="s">
        <v>896</v>
      </c>
      <c r="K211" s="260"/>
    </row>
    <row r="212" spans="2:11" ht="12.75">
      <c r="B212" s="259" t="s">
        <v>308</v>
      </c>
      <c r="C212" s="260"/>
      <c r="D212" s="47" t="s">
        <v>699</v>
      </c>
      <c r="E212" s="259" t="s">
        <v>250</v>
      </c>
      <c r="F212" s="260"/>
      <c r="G212" s="259" t="s">
        <v>886</v>
      </c>
      <c r="H212" s="261"/>
      <c r="I212" s="260"/>
      <c r="J212" s="259" t="s">
        <v>900</v>
      </c>
      <c r="K212" s="260"/>
    </row>
    <row r="213" spans="2:11" ht="12.75">
      <c r="B213" s="259" t="s">
        <v>234</v>
      </c>
      <c r="C213" s="260"/>
      <c r="D213" s="47" t="s">
        <v>705</v>
      </c>
      <c r="E213" s="259" t="s">
        <v>250</v>
      </c>
      <c r="F213" s="260"/>
      <c r="G213" s="259" t="s">
        <v>721</v>
      </c>
      <c r="H213" s="261"/>
      <c r="I213" s="260"/>
      <c r="J213" s="259" t="s">
        <v>905</v>
      </c>
      <c r="K213" s="260"/>
    </row>
    <row r="214" spans="2:11" ht="12.75">
      <c r="B214" s="259" t="s">
        <v>234</v>
      </c>
      <c r="C214" s="260"/>
      <c r="D214" s="47" t="s">
        <v>277</v>
      </c>
      <c r="E214" s="259" t="s">
        <v>250</v>
      </c>
      <c r="F214" s="260"/>
      <c r="G214" s="259" t="s">
        <v>906</v>
      </c>
      <c r="H214" s="261"/>
      <c r="I214" s="260"/>
      <c r="J214" s="259" t="s">
        <v>907</v>
      </c>
      <c r="K214" s="260"/>
    </row>
    <row r="215" spans="2:11" ht="12.75">
      <c r="B215" s="259" t="s">
        <v>897</v>
      </c>
      <c r="C215" s="260"/>
      <c r="D215" s="47" t="s">
        <v>566</v>
      </c>
      <c r="E215" s="259" t="s">
        <v>250</v>
      </c>
      <c r="F215" s="260"/>
      <c r="G215" s="259" t="s">
        <v>933</v>
      </c>
      <c r="H215" s="261"/>
      <c r="I215" s="260"/>
      <c r="J215" s="259" t="s">
        <v>934</v>
      </c>
      <c r="K215" s="260"/>
    </row>
    <row r="216" spans="2:11" ht="12.75">
      <c r="B216" s="259" t="s">
        <v>308</v>
      </c>
      <c r="C216" s="260"/>
      <c r="D216" s="47" t="s">
        <v>947</v>
      </c>
      <c r="E216" s="259" t="s">
        <v>250</v>
      </c>
      <c r="F216" s="260"/>
      <c r="G216" s="259" t="s">
        <v>948</v>
      </c>
      <c r="H216" s="261"/>
      <c r="I216" s="260"/>
      <c r="J216" s="259" t="s">
        <v>949</v>
      </c>
      <c r="K216" s="260"/>
    </row>
    <row r="217" spans="2:11" ht="12.75">
      <c r="B217" s="259" t="s">
        <v>308</v>
      </c>
      <c r="C217" s="260"/>
      <c r="D217" s="47" t="s">
        <v>1021</v>
      </c>
      <c r="E217" s="259" t="s">
        <v>250</v>
      </c>
      <c r="F217" s="260"/>
      <c r="G217" s="259" t="s">
        <v>1022</v>
      </c>
      <c r="H217" s="261"/>
      <c r="I217" s="260"/>
      <c r="J217" s="259" t="s">
        <v>1023</v>
      </c>
      <c r="K217" s="260"/>
    </row>
    <row r="218" spans="2:11" ht="12.75">
      <c r="B218" s="259" t="s">
        <v>239</v>
      </c>
      <c r="C218" s="260"/>
      <c r="D218" s="47" t="s">
        <v>1029</v>
      </c>
      <c r="E218" s="259" t="s">
        <v>250</v>
      </c>
      <c r="F218" s="260"/>
      <c r="G218" s="259" t="s">
        <v>1030</v>
      </c>
      <c r="H218" s="261"/>
      <c r="I218" s="260"/>
      <c r="J218" s="259" t="s">
        <v>1031</v>
      </c>
      <c r="K218" s="260"/>
    </row>
    <row r="219" spans="2:11" ht="12.75">
      <c r="B219" s="259" t="s">
        <v>234</v>
      </c>
      <c r="C219" s="260"/>
      <c r="D219" s="47" t="s">
        <v>802</v>
      </c>
      <c r="E219" s="259" t="s">
        <v>250</v>
      </c>
      <c r="F219" s="260"/>
      <c r="G219" s="259" t="s">
        <v>566</v>
      </c>
      <c r="H219" s="261"/>
      <c r="I219" s="260"/>
      <c r="J219" s="259" t="s">
        <v>1037</v>
      </c>
      <c r="K219" s="260"/>
    </row>
    <row r="220" spans="2:11" ht="12.75">
      <c r="B220" s="259" t="s">
        <v>234</v>
      </c>
      <c r="C220" s="260"/>
      <c r="D220" s="47" t="s">
        <v>597</v>
      </c>
      <c r="E220" s="259" t="s">
        <v>250</v>
      </c>
      <c r="F220" s="260"/>
      <c r="G220" s="259" t="s">
        <v>1030</v>
      </c>
      <c r="H220" s="261"/>
      <c r="I220" s="260"/>
      <c r="J220" s="259" t="s">
        <v>1056</v>
      </c>
      <c r="K220" s="260"/>
    </row>
    <row r="221" spans="2:11" ht="12.75">
      <c r="B221" s="259" t="s">
        <v>308</v>
      </c>
      <c r="C221" s="260"/>
      <c r="D221" s="47" t="s">
        <v>566</v>
      </c>
      <c r="E221" s="259" t="s">
        <v>250</v>
      </c>
      <c r="F221" s="260"/>
      <c r="G221" s="259" t="s">
        <v>802</v>
      </c>
      <c r="H221" s="261"/>
      <c r="I221" s="260"/>
      <c r="J221" s="259" t="s">
        <v>1065</v>
      </c>
      <c r="K221" s="260"/>
    </row>
    <row r="222" spans="2:11" ht="12.75">
      <c r="B222" s="259" t="s">
        <v>308</v>
      </c>
      <c r="C222" s="260"/>
      <c r="D222" s="47" t="s">
        <v>1078</v>
      </c>
      <c r="E222" s="259" t="s">
        <v>250</v>
      </c>
      <c r="F222" s="260"/>
      <c r="G222" s="259" t="s">
        <v>1079</v>
      </c>
      <c r="H222" s="261"/>
      <c r="I222" s="260"/>
      <c r="J222" s="259" t="s">
        <v>1080</v>
      </c>
      <c r="K222" s="260"/>
    </row>
    <row r="223" spans="2:11" ht="12.75">
      <c r="B223" s="259" t="s">
        <v>207</v>
      </c>
      <c r="C223" s="260"/>
      <c r="D223" s="47" t="s">
        <v>1130</v>
      </c>
      <c r="E223" s="259" t="s">
        <v>232</v>
      </c>
      <c r="F223" s="260"/>
      <c r="G223" s="259" t="s">
        <v>1131</v>
      </c>
      <c r="H223" s="261"/>
      <c r="I223" s="260"/>
      <c r="J223" s="259" t="s">
        <v>1132</v>
      </c>
      <c r="K223" s="260"/>
    </row>
    <row r="224" spans="2:11" ht="12.75">
      <c r="B224" s="259" t="s">
        <v>234</v>
      </c>
      <c r="C224" s="260"/>
      <c r="D224" s="47" t="s">
        <v>455</v>
      </c>
      <c r="E224" s="259" t="s">
        <v>250</v>
      </c>
      <c r="F224" s="260"/>
      <c r="G224" s="259" t="s">
        <v>508</v>
      </c>
      <c r="H224" s="261"/>
      <c r="I224" s="260"/>
      <c r="J224" s="259" t="s">
        <v>1159</v>
      </c>
      <c r="K224" s="260"/>
    </row>
    <row r="225" spans="2:11" ht="12.75">
      <c r="B225" s="259" t="s">
        <v>308</v>
      </c>
      <c r="C225" s="260"/>
      <c r="D225" s="47" t="s">
        <v>508</v>
      </c>
      <c r="E225" s="259" t="s">
        <v>250</v>
      </c>
      <c r="F225" s="260"/>
      <c r="G225" s="259" t="s">
        <v>455</v>
      </c>
      <c r="H225" s="261"/>
      <c r="I225" s="260"/>
      <c r="J225" s="259" t="s">
        <v>1160</v>
      </c>
      <c r="K225" s="260"/>
    </row>
    <row r="226" spans="2:11" ht="12.75">
      <c r="B226" s="259" t="s">
        <v>234</v>
      </c>
      <c r="C226" s="260"/>
      <c r="D226" s="47" t="s">
        <v>1165</v>
      </c>
      <c r="E226" s="259" t="s">
        <v>250</v>
      </c>
      <c r="F226" s="260"/>
      <c r="G226" s="259" t="s">
        <v>1166</v>
      </c>
      <c r="H226" s="261"/>
      <c r="I226" s="260"/>
      <c r="J226" s="259" t="s">
        <v>1167</v>
      </c>
      <c r="K226" s="260"/>
    </row>
    <row r="227" spans="2:11" ht="12.75">
      <c r="B227" s="259"/>
      <c r="C227" s="260"/>
      <c r="D227" s="47"/>
      <c r="E227" s="259"/>
      <c r="F227" s="260"/>
      <c r="G227" s="259"/>
      <c r="H227" s="261"/>
      <c r="I227" s="260"/>
      <c r="J227" s="259"/>
      <c r="K227" s="260"/>
    </row>
    <row r="228" spans="2:11" ht="12.75">
      <c r="B228" s="259"/>
      <c r="C228" s="260"/>
      <c r="D228" s="47"/>
      <c r="E228" s="259"/>
      <c r="F228" s="260"/>
      <c r="G228" s="259"/>
      <c r="H228" s="261"/>
      <c r="I228" s="260"/>
      <c r="J228" s="259"/>
      <c r="K228" s="260"/>
    </row>
    <row r="229" spans="2:11" ht="12.75">
      <c r="B229" s="259"/>
      <c r="C229" s="260"/>
      <c r="D229" s="47"/>
      <c r="E229" s="259"/>
      <c r="F229" s="260"/>
      <c r="G229" s="259"/>
      <c r="H229" s="261"/>
      <c r="I229" s="260"/>
      <c r="J229" s="259"/>
      <c r="K229" s="260"/>
    </row>
    <row r="230" spans="2:11" ht="12.75">
      <c r="B230" s="259"/>
      <c r="C230" s="260"/>
      <c r="D230" s="47"/>
      <c r="E230" s="259"/>
      <c r="F230" s="260"/>
      <c r="G230" s="259"/>
      <c r="H230" s="261"/>
      <c r="I230" s="260"/>
      <c r="J230" s="259"/>
      <c r="K230" s="260"/>
    </row>
    <row r="231" spans="2:11" ht="12.75">
      <c r="B231" s="259"/>
      <c r="C231" s="260"/>
      <c r="D231" s="47"/>
      <c r="E231" s="259"/>
      <c r="F231" s="260"/>
      <c r="G231" s="259"/>
      <c r="H231" s="261"/>
      <c r="I231" s="260"/>
      <c r="J231" s="259"/>
      <c r="K231" s="260"/>
    </row>
    <row r="232" spans="2:11" ht="12.75">
      <c r="B232" s="259"/>
      <c r="C232" s="260"/>
      <c r="D232" s="47"/>
      <c r="E232" s="259"/>
      <c r="F232" s="260"/>
      <c r="G232" s="259"/>
      <c r="H232" s="261"/>
      <c r="I232" s="260"/>
      <c r="J232" s="259"/>
      <c r="K232" s="260"/>
    </row>
  </sheetData>
  <mergeCells count="332">
    <mergeCell ref="X35:Y35"/>
    <mergeCell ref="W40:AD40"/>
    <mergeCell ref="X34:Y34"/>
    <mergeCell ref="Z32:AA32"/>
    <mergeCell ref="Z33:AA33"/>
    <mergeCell ref="Z34:AA34"/>
    <mergeCell ref="Z35:AA35"/>
    <mergeCell ref="X32:Y32"/>
    <mergeCell ref="X33:Y33"/>
    <mergeCell ref="W10:AB10"/>
    <mergeCell ref="X11:Y11"/>
    <mergeCell ref="X30:Y30"/>
    <mergeCell ref="X31:Y31"/>
    <mergeCell ref="Z31:AA31"/>
    <mergeCell ref="Z11:AA11"/>
    <mergeCell ref="Z30:AA30"/>
    <mergeCell ref="B218:C218"/>
    <mergeCell ref="E218:F218"/>
    <mergeCell ref="G218:I218"/>
    <mergeCell ref="J218:K218"/>
    <mergeCell ref="B217:C217"/>
    <mergeCell ref="E217:F217"/>
    <mergeCell ref="G217:I217"/>
    <mergeCell ref="J217:K217"/>
    <mergeCell ref="B216:C216"/>
    <mergeCell ref="E216:F216"/>
    <mergeCell ref="G216:I216"/>
    <mergeCell ref="J216:K216"/>
    <mergeCell ref="B215:C215"/>
    <mergeCell ref="E215:F215"/>
    <mergeCell ref="G215:I215"/>
    <mergeCell ref="J215:K215"/>
    <mergeCell ref="B214:C214"/>
    <mergeCell ref="E214:F214"/>
    <mergeCell ref="G214:I214"/>
    <mergeCell ref="J214:K214"/>
    <mergeCell ref="B213:C213"/>
    <mergeCell ref="E213:F213"/>
    <mergeCell ref="G213:I213"/>
    <mergeCell ref="J213:K213"/>
    <mergeCell ref="B212:C212"/>
    <mergeCell ref="E212:F212"/>
    <mergeCell ref="G212:I212"/>
    <mergeCell ref="J212:K212"/>
    <mergeCell ref="B211:C211"/>
    <mergeCell ref="E211:F211"/>
    <mergeCell ref="G211:I211"/>
    <mergeCell ref="J211:K211"/>
    <mergeCell ref="B210:C210"/>
    <mergeCell ref="E210:F210"/>
    <mergeCell ref="G210:I210"/>
    <mergeCell ref="J210:K210"/>
    <mergeCell ref="B209:C209"/>
    <mergeCell ref="E209:F209"/>
    <mergeCell ref="G209:I209"/>
    <mergeCell ref="J209:K209"/>
    <mergeCell ref="B208:C208"/>
    <mergeCell ref="E208:F208"/>
    <mergeCell ref="G208:I208"/>
    <mergeCell ref="J208:K208"/>
    <mergeCell ref="J206:K206"/>
    <mergeCell ref="B207:C207"/>
    <mergeCell ref="E207:F207"/>
    <mergeCell ref="G207:I207"/>
    <mergeCell ref="J207:K207"/>
    <mergeCell ref="B206:C206"/>
    <mergeCell ref="E206:F206"/>
    <mergeCell ref="G206:I206"/>
    <mergeCell ref="B201:C201"/>
    <mergeCell ref="B198:C198"/>
    <mergeCell ref="E198:F198"/>
    <mergeCell ref="B196:C196"/>
    <mergeCell ref="E196:F196"/>
    <mergeCell ref="B200:C200"/>
    <mergeCell ref="B197:C197"/>
    <mergeCell ref="E197:F197"/>
    <mergeCell ref="W56:AE56"/>
    <mergeCell ref="W58:Y58"/>
    <mergeCell ref="AC58:AE58"/>
    <mergeCell ref="B83:K83"/>
    <mergeCell ref="B79:D79"/>
    <mergeCell ref="B81:D81"/>
    <mergeCell ref="B69:D69"/>
    <mergeCell ref="B70:I70"/>
    <mergeCell ref="B65:K65"/>
    <mergeCell ref="B64:D64"/>
    <mergeCell ref="J205:K205"/>
    <mergeCell ref="B204:C204"/>
    <mergeCell ref="J204:K204"/>
    <mergeCell ref="G205:I205"/>
    <mergeCell ref="D204:I204"/>
    <mergeCell ref="B205:C205"/>
    <mergeCell ref="E205:F205"/>
    <mergeCell ref="J203:K203"/>
    <mergeCell ref="B202:C202"/>
    <mergeCell ref="E202:F202"/>
    <mergeCell ref="G202:I202"/>
    <mergeCell ref="J202:K202"/>
    <mergeCell ref="G203:I203"/>
    <mergeCell ref="B203:C203"/>
    <mergeCell ref="E203:F203"/>
    <mergeCell ref="J201:K201"/>
    <mergeCell ref="E201:F201"/>
    <mergeCell ref="G201:I201"/>
    <mergeCell ref="G200:I200"/>
    <mergeCell ref="J200:K200"/>
    <mergeCell ref="E200:F200"/>
    <mergeCell ref="G198:I198"/>
    <mergeCell ref="J198:K198"/>
    <mergeCell ref="B199:C199"/>
    <mergeCell ref="E199:F199"/>
    <mergeCell ref="G199:I199"/>
    <mergeCell ref="J199:K199"/>
    <mergeCell ref="G197:I197"/>
    <mergeCell ref="J197:K197"/>
    <mergeCell ref="G196:I196"/>
    <mergeCell ref="J196:K196"/>
    <mergeCell ref="B195:C195"/>
    <mergeCell ref="E195:F195"/>
    <mergeCell ref="G195:I195"/>
    <mergeCell ref="J195:K195"/>
    <mergeCell ref="B194:C194"/>
    <mergeCell ref="E194:F194"/>
    <mergeCell ref="G194:I194"/>
    <mergeCell ref="J194:K194"/>
    <mergeCell ref="B193:C193"/>
    <mergeCell ref="E193:F193"/>
    <mergeCell ref="G193:I193"/>
    <mergeCell ref="J193:K193"/>
    <mergeCell ref="B192:C192"/>
    <mergeCell ref="E192:F192"/>
    <mergeCell ref="G192:I192"/>
    <mergeCell ref="J192:K192"/>
    <mergeCell ref="B191:C191"/>
    <mergeCell ref="E191:F191"/>
    <mergeCell ref="G191:I191"/>
    <mergeCell ref="J191:K191"/>
    <mergeCell ref="B190:C190"/>
    <mergeCell ref="E190:F190"/>
    <mergeCell ref="G190:I190"/>
    <mergeCell ref="J190:K190"/>
    <mergeCell ref="B189:C189"/>
    <mergeCell ref="E189:F189"/>
    <mergeCell ref="G189:I189"/>
    <mergeCell ref="J189:K189"/>
    <mergeCell ref="B188:C188"/>
    <mergeCell ref="E188:F188"/>
    <mergeCell ref="G188:I188"/>
    <mergeCell ref="J188:K188"/>
    <mergeCell ref="B187:C187"/>
    <mergeCell ref="E187:F187"/>
    <mergeCell ref="G187:I187"/>
    <mergeCell ref="J187:K187"/>
    <mergeCell ref="B186:C186"/>
    <mergeCell ref="J186:K186"/>
    <mergeCell ref="D186:I186"/>
    <mergeCell ref="B185:C185"/>
    <mergeCell ref="E185:F185"/>
    <mergeCell ref="G185:I185"/>
    <mergeCell ref="J185:K185"/>
    <mergeCell ref="B184:C184"/>
    <mergeCell ref="E184:F184"/>
    <mergeCell ref="G184:I184"/>
    <mergeCell ref="J184:K184"/>
    <mergeCell ref="B183:C183"/>
    <mergeCell ref="E183:F183"/>
    <mergeCell ref="G183:I183"/>
    <mergeCell ref="J183:K183"/>
    <mergeCell ref="B182:C182"/>
    <mergeCell ref="E182:F182"/>
    <mergeCell ref="G182:I182"/>
    <mergeCell ref="J182:K182"/>
    <mergeCell ref="B181:C181"/>
    <mergeCell ref="E181:F181"/>
    <mergeCell ref="G181:I181"/>
    <mergeCell ref="J181:K181"/>
    <mergeCell ref="B180:C180"/>
    <mergeCell ref="E180:F180"/>
    <mergeCell ref="G180:I180"/>
    <mergeCell ref="J180:K180"/>
    <mergeCell ref="B178:C178"/>
    <mergeCell ref="J178:K178"/>
    <mergeCell ref="B179:C179"/>
    <mergeCell ref="E179:F179"/>
    <mergeCell ref="G179:I179"/>
    <mergeCell ref="J179:K179"/>
    <mergeCell ref="E178:F178"/>
    <mergeCell ref="G178:I178"/>
    <mergeCell ref="B176:C176"/>
    <mergeCell ref="J176:K176"/>
    <mergeCell ref="B177:C177"/>
    <mergeCell ref="E177:F177"/>
    <mergeCell ref="G177:I177"/>
    <mergeCell ref="J177:K177"/>
    <mergeCell ref="E176:F176"/>
    <mergeCell ref="G176:I176"/>
    <mergeCell ref="B175:C175"/>
    <mergeCell ref="E175:F175"/>
    <mergeCell ref="G175:I175"/>
    <mergeCell ref="J175:K175"/>
    <mergeCell ref="B173:C173"/>
    <mergeCell ref="E173:F173"/>
    <mergeCell ref="G173:I173"/>
    <mergeCell ref="J173:K173"/>
    <mergeCell ref="B172:C172"/>
    <mergeCell ref="E172:F172"/>
    <mergeCell ref="G172:I172"/>
    <mergeCell ref="J172:K172"/>
    <mergeCell ref="B171:C171"/>
    <mergeCell ref="E171:F171"/>
    <mergeCell ref="G171:I171"/>
    <mergeCell ref="J171:K171"/>
    <mergeCell ref="B170:C170"/>
    <mergeCell ref="E170:F170"/>
    <mergeCell ref="G170:I170"/>
    <mergeCell ref="J170:K170"/>
    <mergeCell ref="B169:C169"/>
    <mergeCell ref="E169:F169"/>
    <mergeCell ref="G169:I169"/>
    <mergeCell ref="J169:K169"/>
    <mergeCell ref="B168:C168"/>
    <mergeCell ref="E168:F168"/>
    <mergeCell ref="G168:I168"/>
    <mergeCell ref="J168:K168"/>
    <mergeCell ref="B167:C167"/>
    <mergeCell ref="E167:F167"/>
    <mergeCell ref="G167:I167"/>
    <mergeCell ref="J167:K167"/>
    <mergeCell ref="B166:C166"/>
    <mergeCell ref="E166:F166"/>
    <mergeCell ref="G166:I166"/>
    <mergeCell ref="J166:K166"/>
    <mergeCell ref="B165:C165"/>
    <mergeCell ref="E165:F165"/>
    <mergeCell ref="G165:I165"/>
    <mergeCell ref="J165:K165"/>
    <mergeCell ref="B164:C164"/>
    <mergeCell ref="E164:F164"/>
    <mergeCell ref="B163:K163"/>
    <mergeCell ref="G164:I164"/>
    <mergeCell ref="J164:K164"/>
    <mergeCell ref="B141:D141"/>
    <mergeCell ref="B142:I142"/>
    <mergeCell ref="B157:D157"/>
    <mergeCell ref="B159:D159"/>
    <mergeCell ref="C87:D87"/>
    <mergeCell ref="B135:D135"/>
    <mergeCell ref="B137:K137"/>
    <mergeCell ref="C85:D85"/>
    <mergeCell ref="B89:K89"/>
    <mergeCell ref="N10:R10"/>
    <mergeCell ref="C11:D11"/>
    <mergeCell ref="B13:K13"/>
    <mergeCell ref="B18:D18"/>
    <mergeCell ref="C10:D10"/>
    <mergeCell ref="N43:S43"/>
    <mergeCell ref="N20:R20"/>
    <mergeCell ref="N30:R30"/>
    <mergeCell ref="B39:I39"/>
    <mergeCell ref="B37:D37"/>
    <mergeCell ref="E174:F174"/>
    <mergeCell ref="G174:I174"/>
    <mergeCell ref="J174:K174"/>
    <mergeCell ref="B6:K6"/>
    <mergeCell ref="C9:D9"/>
    <mergeCell ref="B20:I20"/>
    <mergeCell ref="B48:D48"/>
    <mergeCell ref="B50:I50"/>
    <mergeCell ref="B95:D95"/>
    <mergeCell ref="B97:I97"/>
    <mergeCell ref="B222:C222"/>
    <mergeCell ref="E222:F222"/>
    <mergeCell ref="C86:D86"/>
    <mergeCell ref="B219:C219"/>
    <mergeCell ref="E219:F219"/>
    <mergeCell ref="B124:I124"/>
    <mergeCell ref="B122:D122"/>
    <mergeCell ref="B110:D110"/>
    <mergeCell ref="B112:I112"/>
    <mergeCell ref="B174:C174"/>
    <mergeCell ref="B220:C220"/>
    <mergeCell ref="J220:K220"/>
    <mergeCell ref="B221:C221"/>
    <mergeCell ref="E221:F221"/>
    <mergeCell ref="G221:I221"/>
    <mergeCell ref="J221:K221"/>
    <mergeCell ref="E220:F220"/>
    <mergeCell ref="G220:I220"/>
    <mergeCell ref="J224:K224"/>
    <mergeCell ref="G222:I222"/>
    <mergeCell ref="J219:K219"/>
    <mergeCell ref="J222:K222"/>
    <mergeCell ref="G219:I219"/>
    <mergeCell ref="B223:C223"/>
    <mergeCell ref="E223:F223"/>
    <mergeCell ref="G223:I223"/>
    <mergeCell ref="J223:K223"/>
    <mergeCell ref="J226:K226"/>
    <mergeCell ref="B225:C225"/>
    <mergeCell ref="E225:F225"/>
    <mergeCell ref="G225:I225"/>
    <mergeCell ref="J225:K225"/>
    <mergeCell ref="B226:C226"/>
    <mergeCell ref="E226:F226"/>
    <mergeCell ref="G226:I226"/>
    <mergeCell ref="B224:C224"/>
    <mergeCell ref="B227:C227"/>
    <mergeCell ref="E227:F227"/>
    <mergeCell ref="G227:I227"/>
    <mergeCell ref="E224:F224"/>
    <mergeCell ref="G224:I224"/>
    <mergeCell ref="J227:K227"/>
    <mergeCell ref="B228:C228"/>
    <mergeCell ref="E228:F228"/>
    <mergeCell ref="G228:I228"/>
    <mergeCell ref="J228:K228"/>
    <mergeCell ref="B229:C229"/>
    <mergeCell ref="E229:F229"/>
    <mergeCell ref="G229:I229"/>
    <mergeCell ref="J229:K229"/>
    <mergeCell ref="B230:C230"/>
    <mergeCell ref="E230:F230"/>
    <mergeCell ref="G230:I230"/>
    <mergeCell ref="J230:K230"/>
    <mergeCell ref="B231:C231"/>
    <mergeCell ref="E231:F231"/>
    <mergeCell ref="G231:I231"/>
    <mergeCell ref="J231:K231"/>
    <mergeCell ref="B232:C232"/>
    <mergeCell ref="E232:F232"/>
    <mergeCell ref="G232:I232"/>
    <mergeCell ref="J232:K232"/>
  </mergeCells>
  <printOptions/>
  <pageMargins left="0.75" right="0.75" top="1" bottom="1" header="0.4921259845" footer="0.4921259845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01"/>
  <sheetViews>
    <sheetView workbookViewId="0" topLeftCell="A1">
      <selection activeCell="C30" sqref="C30"/>
    </sheetView>
  </sheetViews>
  <sheetFormatPr defaultColWidth="11.421875" defaultRowHeight="12.75"/>
  <cols>
    <col min="1" max="1" width="3.7109375" style="1" customWidth="1"/>
    <col min="2" max="2" width="4.421875" style="1" customWidth="1"/>
    <col min="3" max="3" width="7.140625" style="1" customWidth="1"/>
    <col min="4" max="4" width="19.28125" style="1" customWidth="1"/>
    <col min="5" max="7" width="5.57421875" style="1" customWidth="1"/>
    <col min="8" max="8" width="5.7109375" style="1" customWidth="1"/>
    <col min="9" max="9" width="8.57421875" style="1" customWidth="1"/>
    <col min="10" max="10" width="5.421875" style="1" customWidth="1"/>
    <col min="11" max="11" width="7.7109375" style="1" customWidth="1"/>
    <col min="12" max="12" width="2.57421875" style="1" customWidth="1"/>
    <col min="13" max="13" width="2.421875" style="1" customWidth="1"/>
    <col min="14" max="14" width="15.00390625" style="1" customWidth="1"/>
    <col min="15" max="16" width="8.00390625" style="1" customWidth="1"/>
    <col min="17" max="17" width="7.7109375" style="1" customWidth="1"/>
    <col min="18" max="18" width="12.57421875" style="1" customWidth="1"/>
    <col min="19" max="19" width="11.421875" style="1" customWidth="1"/>
    <col min="20" max="20" width="2.28125" style="1" customWidth="1"/>
    <col min="21" max="21" width="1.7109375" style="1" customWidth="1"/>
    <col min="22" max="22" width="2.140625" style="1" customWidth="1"/>
    <col min="23" max="23" width="14.00390625" style="1" customWidth="1"/>
    <col min="24" max="24" width="6.140625" style="1" customWidth="1"/>
    <col min="25" max="25" width="7.28125" style="1" customWidth="1"/>
    <col min="26" max="27" width="7.140625" style="1" customWidth="1"/>
    <col min="28" max="16384" width="11.421875" style="1" customWidth="1"/>
  </cols>
  <sheetData>
    <row r="1" spans="13:21" ht="12.75">
      <c r="M1" s="2"/>
      <c r="U1" s="161"/>
    </row>
    <row r="2" spans="13:21" ht="12.75">
      <c r="M2" s="2"/>
      <c r="U2" s="161"/>
    </row>
    <row r="3" spans="13:21" ht="12.75">
      <c r="M3" s="2"/>
      <c r="U3" s="161"/>
    </row>
    <row r="4" spans="13:21" ht="12.75">
      <c r="M4" s="2"/>
      <c r="U4" s="161"/>
    </row>
    <row r="5" spans="13:21" ht="12.75">
      <c r="M5" s="2"/>
      <c r="U5" s="161"/>
    </row>
    <row r="6" spans="2:21" ht="13.5">
      <c r="B6" s="270" t="s">
        <v>0</v>
      </c>
      <c r="C6" s="270"/>
      <c r="D6" s="270"/>
      <c r="E6" s="270"/>
      <c r="F6" s="270"/>
      <c r="G6" s="270"/>
      <c r="H6" s="270"/>
      <c r="I6" s="270"/>
      <c r="J6" s="270"/>
      <c r="K6" s="270"/>
      <c r="L6" s="3"/>
      <c r="M6" s="4"/>
      <c r="U6" s="161"/>
    </row>
    <row r="7" spans="2:21" ht="12.7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U7" s="161"/>
    </row>
    <row r="8" spans="2:21" ht="13.5" thickBo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/>
      <c r="U8" s="161"/>
    </row>
    <row r="9" spans="2:21" ht="15" customHeight="1" thickBot="1">
      <c r="B9" s="7"/>
      <c r="C9" s="271" t="s">
        <v>66</v>
      </c>
      <c r="D9" s="271"/>
      <c r="E9" s="9" t="s">
        <v>2</v>
      </c>
      <c r="F9" s="9" t="s">
        <v>3</v>
      </c>
      <c r="G9" s="9" t="s">
        <v>4</v>
      </c>
      <c r="H9" s="9" t="s">
        <v>5</v>
      </c>
      <c r="I9" s="10" t="s">
        <v>6</v>
      </c>
      <c r="J9" s="7"/>
      <c r="K9" s="7"/>
      <c r="L9" s="7"/>
      <c r="M9" s="8"/>
      <c r="U9" s="161"/>
    </row>
    <row r="10" spans="2:28" ht="15" customHeight="1" thickBot="1" thickTop="1">
      <c r="B10" s="7"/>
      <c r="C10" s="305" t="str">
        <f>'[1]Equipes-Pool'!$B$14</f>
        <v>Devils du New Jersey</v>
      </c>
      <c r="D10" s="306"/>
      <c r="E10" s="217">
        <v>13</v>
      </c>
      <c r="F10" s="217">
        <v>16</v>
      </c>
      <c r="G10" s="217">
        <v>36</v>
      </c>
      <c r="H10" s="217">
        <v>33</v>
      </c>
      <c r="I10" s="218">
        <f>F10+(G10-H10)</f>
        <v>19</v>
      </c>
      <c r="J10" s="7"/>
      <c r="K10" s="7"/>
      <c r="L10" s="7"/>
      <c r="M10" s="8"/>
      <c r="N10" s="265" t="s">
        <v>65</v>
      </c>
      <c r="O10" s="266"/>
      <c r="P10" s="266"/>
      <c r="Q10" s="266"/>
      <c r="R10" s="267"/>
      <c r="U10" s="161"/>
      <c r="W10" s="293" t="s">
        <v>375</v>
      </c>
      <c r="X10" s="294"/>
      <c r="Y10" s="294"/>
      <c r="Z10" s="294"/>
      <c r="AA10" s="294"/>
      <c r="AB10" s="295"/>
    </row>
    <row r="11" spans="2:28" ht="15" customHeight="1" thickBot="1">
      <c r="B11" s="7"/>
      <c r="C11" s="259" t="str">
        <f>'[1]Equipes-Pool'!$B$32</f>
        <v>Blackhawks de Chicago</v>
      </c>
      <c r="D11" s="260"/>
      <c r="E11" s="40">
        <f>('[1]Equipes-Pool'!$C$32)-12</f>
        <v>53</v>
      </c>
      <c r="F11" s="40">
        <f>('[1]Equipes-Pool'!$D$32)-15</f>
        <v>68</v>
      </c>
      <c r="G11" s="40">
        <f>('[1]Equipes-Pool'!$E$32)-42</f>
        <v>173</v>
      </c>
      <c r="H11" s="40">
        <f>('[1]Equipes-Pool'!$F$32)-34</f>
        <v>135</v>
      </c>
      <c r="I11" s="37">
        <f>F11+(G11-H11)</f>
        <v>106</v>
      </c>
      <c r="J11" s="7"/>
      <c r="K11" s="7"/>
      <c r="L11" s="7"/>
      <c r="M11" s="8"/>
      <c r="N11" s="16" t="s">
        <v>8</v>
      </c>
      <c r="O11" s="17" t="s">
        <v>9</v>
      </c>
      <c r="P11" s="71" t="s">
        <v>10</v>
      </c>
      <c r="Q11" s="18" t="s">
        <v>11</v>
      </c>
      <c r="R11" s="19" t="s">
        <v>68</v>
      </c>
      <c r="U11" s="161"/>
      <c r="W11" s="152" t="s">
        <v>8</v>
      </c>
      <c r="X11" s="296" t="s">
        <v>83</v>
      </c>
      <c r="Y11" s="297"/>
      <c r="Z11" s="296" t="s">
        <v>196</v>
      </c>
      <c r="AA11" s="297"/>
      <c r="AB11" s="158" t="s">
        <v>159</v>
      </c>
    </row>
    <row r="12" spans="2:28" ht="15" customHeight="1" thickTop="1">
      <c r="B12" s="7"/>
      <c r="C12" s="329" t="s">
        <v>7</v>
      </c>
      <c r="D12" s="330"/>
      <c r="E12" s="14">
        <f>SUM(E10:E11)</f>
        <v>66</v>
      </c>
      <c r="F12" s="14">
        <f>SUM(F10:F11)</f>
        <v>84</v>
      </c>
      <c r="G12" s="14">
        <f>SUM(G10:G11)</f>
        <v>209</v>
      </c>
      <c r="H12" s="14">
        <f>SUM(H10:H11)</f>
        <v>168</v>
      </c>
      <c r="I12" s="33">
        <f>F12+(G12-H12)</f>
        <v>125</v>
      </c>
      <c r="J12" s="7"/>
      <c r="K12" s="7"/>
      <c r="L12" s="7"/>
      <c r="M12" s="8"/>
      <c r="N12" s="20" t="s">
        <v>12</v>
      </c>
      <c r="O12" s="21">
        <f>E12</f>
        <v>66</v>
      </c>
      <c r="P12" s="72">
        <f>I12</f>
        <v>125</v>
      </c>
      <c r="Q12" s="23">
        <f aca="true" t="shared" si="0" ref="Q12:Q18">P12/O12</f>
        <v>1.893939393939394</v>
      </c>
      <c r="R12" s="22">
        <f>'[2]Individuel'!$D$19</f>
        <v>107.5</v>
      </c>
      <c r="U12" s="161"/>
      <c r="W12" s="155"/>
      <c r="X12" s="154" t="s">
        <v>143</v>
      </c>
      <c r="Y12" s="154" t="s">
        <v>157</v>
      </c>
      <c r="Z12" s="154" t="s">
        <v>143</v>
      </c>
      <c r="AA12" s="154" t="s">
        <v>157</v>
      </c>
      <c r="AB12" s="156"/>
    </row>
    <row r="13" spans="2:28" ht="12.7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25"/>
      <c r="N13" s="26" t="s">
        <v>14</v>
      </c>
      <c r="O13" s="27">
        <f>E21</f>
        <v>100</v>
      </c>
      <c r="P13" s="73">
        <f>K21</f>
        <v>142</v>
      </c>
      <c r="Q13" s="29">
        <f t="shared" si="0"/>
        <v>1.42</v>
      </c>
      <c r="R13" s="28">
        <f>'[2]Individuel'!$I$19</f>
        <v>146.5</v>
      </c>
      <c r="U13" s="161"/>
      <c r="W13" s="153" t="s">
        <v>156</v>
      </c>
      <c r="X13" s="14" t="s">
        <v>151</v>
      </c>
      <c r="Y13" s="14">
        <v>1262</v>
      </c>
      <c r="Z13" s="14"/>
      <c r="AA13" s="14"/>
      <c r="AB13" s="139">
        <f>Y13+AA13</f>
        <v>1262</v>
      </c>
    </row>
    <row r="14" spans="2:28" ht="15" customHeight="1" thickBot="1">
      <c r="B14" s="254" t="s">
        <v>13</v>
      </c>
      <c r="C14" s="254"/>
      <c r="D14" s="254"/>
      <c r="E14" s="254"/>
      <c r="F14" s="254"/>
      <c r="G14" s="254"/>
      <c r="H14" s="254"/>
      <c r="I14" s="254"/>
      <c r="J14" s="254"/>
      <c r="K14" s="254"/>
      <c r="L14" s="24"/>
      <c r="M14" s="8"/>
      <c r="N14" s="26" t="s">
        <v>23</v>
      </c>
      <c r="O14" s="27">
        <f>E39</f>
        <v>526</v>
      </c>
      <c r="P14" s="73">
        <f>H39</f>
        <v>368</v>
      </c>
      <c r="Q14" s="29">
        <f t="shared" si="0"/>
        <v>0.6996197718631179</v>
      </c>
      <c r="R14" s="28">
        <f>'[2]Individuel'!$N$19</f>
        <v>391.4</v>
      </c>
      <c r="U14" s="161"/>
      <c r="W14" s="49" t="s">
        <v>105</v>
      </c>
      <c r="X14" s="43" t="s">
        <v>148</v>
      </c>
      <c r="Y14" s="43">
        <v>101</v>
      </c>
      <c r="Z14" s="43"/>
      <c r="AA14" s="43"/>
      <c r="AB14" s="139">
        <f aca="true" t="shared" si="1" ref="AB14:AB28">Y14+AA14</f>
        <v>101</v>
      </c>
    </row>
    <row r="15" spans="2:28" ht="15" customHeight="1" thickBot="1">
      <c r="B15" s="30" t="s">
        <v>15</v>
      </c>
      <c r="C15" s="30" t="s">
        <v>16</v>
      </c>
      <c r="D15" s="30" t="s">
        <v>17</v>
      </c>
      <c r="E15" s="31" t="s">
        <v>2</v>
      </c>
      <c r="F15" s="31" t="s">
        <v>18</v>
      </c>
      <c r="G15" s="31" t="s">
        <v>19</v>
      </c>
      <c r="H15" s="31" t="s">
        <v>20</v>
      </c>
      <c r="I15" s="31" t="s">
        <v>21</v>
      </c>
      <c r="J15" s="31" t="s">
        <v>22</v>
      </c>
      <c r="K15" s="32" t="s">
        <v>6</v>
      </c>
      <c r="L15" s="7"/>
      <c r="M15" s="8"/>
      <c r="N15" s="26" t="s">
        <v>24</v>
      </c>
      <c r="O15" s="27">
        <f>E49</f>
        <v>269</v>
      </c>
      <c r="P15" s="73">
        <f>H49</f>
        <v>216</v>
      </c>
      <c r="Q15" s="29">
        <f t="shared" si="0"/>
        <v>0.8029739776951673</v>
      </c>
      <c r="R15" s="28">
        <f>'[2]Individuel'!$D$33</f>
        <v>232.7</v>
      </c>
      <c r="U15" s="161"/>
      <c r="W15" s="49" t="s">
        <v>166</v>
      </c>
      <c r="X15" s="43" t="s">
        <v>154</v>
      </c>
      <c r="Y15" s="43">
        <v>91</v>
      </c>
      <c r="Z15" s="43"/>
      <c r="AA15" s="43"/>
      <c r="AB15" s="139">
        <f t="shared" si="1"/>
        <v>91</v>
      </c>
    </row>
    <row r="16" spans="2:28" ht="15" customHeight="1" thickTop="1">
      <c r="B16" s="106">
        <f>'[1]Pool-gardien'!$B$8</f>
        <v>29.96164383561644</v>
      </c>
      <c r="C16" s="106" t="str">
        <f>'[1]Pool-gardien'!$C$8</f>
        <v>Van</v>
      </c>
      <c r="D16" s="126" t="str">
        <f>'[1]Pool-gardien'!$D$8</f>
        <v>Roberto Luongo</v>
      </c>
      <c r="E16" s="106">
        <f>('[1]Pool-gardien'!$E$8)-2</f>
        <v>37</v>
      </c>
      <c r="F16" s="106">
        <f>('[1]Pool-gardien'!$F$8)</f>
        <v>23</v>
      </c>
      <c r="G16" s="106">
        <f>('[1]Pool-gardien'!$G$8)-1</f>
        <v>5</v>
      </c>
      <c r="H16" s="106">
        <f>('[1]Pool-gardien'!$H$8)</f>
        <v>5</v>
      </c>
      <c r="I16" s="106">
        <f>('[1]Pool-gardien'!$I$8)</f>
        <v>0</v>
      </c>
      <c r="J16" s="106">
        <f>('[1]Pool-gardien'!$J$8)</f>
        <v>1</v>
      </c>
      <c r="K16" s="33">
        <f aca="true" t="shared" si="2" ref="K16:K21">(F16*2)+G16+(H16*4)+(I16*10)+J16</f>
        <v>72</v>
      </c>
      <c r="L16" s="7"/>
      <c r="M16" s="8"/>
      <c r="N16" s="26" t="s">
        <v>25</v>
      </c>
      <c r="O16" s="27">
        <f>E63</f>
        <v>385</v>
      </c>
      <c r="P16" s="73">
        <f>H63</f>
        <v>213</v>
      </c>
      <c r="Q16" s="29">
        <f t="shared" si="0"/>
        <v>0.5532467532467532</v>
      </c>
      <c r="R16" s="28">
        <f>'[2]Individuel'!$I$33</f>
        <v>193.3</v>
      </c>
      <c r="U16" s="161"/>
      <c r="W16" s="49" t="s">
        <v>14</v>
      </c>
      <c r="X16" s="43" t="s">
        <v>148</v>
      </c>
      <c r="Y16" s="43">
        <v>187</v>
      </c>
      <c r="Z16" s="43"/>
      <c r="AA16" s="43"/>
      <c r="AB16" s="139">
        <f t="shared" si="1"/>
        <v>187</v>
      </c>
    </row>
    <row r="17" spans="2:28" ht="15" customHeight="1" thickBot="1">
      <c r="B17" s="109">
        <f>'[1]Pool-gardien'!$B$30</f>
        <v>21.589041095890412</v>
      </c>
      <c r="C17" s="109" t="str">
        <f>'[1]Pool-gardien'!$C$30</f>
        <v>Mtl</v>
      </c>
      <c r="D17" s="111" t="str">
        <f>'[1]Pool-gardien'!$D$30</f>
        <v>Carey Price</v>
      </c>
      <c r="E17" s="109">
        <f>(('[1]Pool-gardien'!$E$30))-1</f>
        <v>42</v>
      </c>
      <c r="F17" s="109">
        <f>(('[1]Pool-gardien'!$F$30))</f>
        <v>20</v>
      </c>
      <c r="G17" s="109">
        <f>(('[1]Pool-gardien'!$G$30))</f>
        <v>7</v>
      </c>
      <c r="H17" s="109">
        <f>(('[1]Pool-gardien'!$H$30))</f>
        <v>1</v>
      </c>
      <c r="I17" s="109">
        <f>(('[1]Pool-gardien'!$I$30))</f>
        <v>0</v>
      </c>
      <c r="J17" s="109">
        <f>(('[1]Pool-gardien'!$J$30))</f>
        <v>1</v>
      </c>
      <c r="K17" s="33">
        <f t="shared" si="2"/>
        <v>52</v>
      </c>
      <c r="L17" s="7"/>
      <c r="M17" s="8"/>
      <c r="N17" s="38" t="s">
        <v>27</v>
      </c>
      <c r="O17" s="117">
        <f>E80</f>
        <v>108</v>
      </c>
      <c r="P17" s="74">
        <f>H80</f>
        <v>32</v>
      </c>
      <c r="Q17" s="41">
        <f t="shared" si="0"/>
        <v>0.2962962962962963</v>
      </c>
      <c r="R17" s="40">
        <f>'[2]Individuel'!$N$33</f>
        <v>63.8</v>
      </c>
      <c r="U17" s="161"/>
      <c r="W17" s="49" t="s">
        <v>84</v>
      </c>
      <c r="X17" s="43" t="s">
        <v>154</v>
      </c>
      <c r="Y17" s="43">
        <v>395</v>
      </c>
      <c r="Z17" s="43"/>
      <c r="AA17" s="43"/>
      <c r="AB17" s="139">
        <f t="shared" si="1"/>
        <v>395</v>
      </c>
    </row>
    <row r="18" spans="2:28" ht="15" customHeight="1">
      <c r="B18" s="183">
        <f>'[1]Pool-gardien'!$B$50</f>
        <v>29.457534246575342</v>
      </c>
      <c r="C18" s="140" t="str">
        <f>'[1]Pool-gardien'!$C$50</f>
        <v>Van</v>
      </c>
      <c r="D18" s="141" t="str">
        <f>'[1]Pool-gardien'!$D$50</f>
        <v>Curtis Sanford</v>
      </c>
      <c r="E18" s="140">
        <v>12</v>
      </c>
      <c r="F18" s="140">
        <v>4</v>
      </c>
      <c r="G18" s="140">
        <v>0</v>
      </c>
      <c r="H18" s="140">
        <v>1</v>
      </c>
      <c r="I18" s="140">
        <v>0</v>
      </c>
      <c r="J18" s="140">
        <v>0</v>
      </c>
      <c r="K18" s="203">
        <f t="shared" si="2"/>
        <v>12</v>
      </c>
      <c r="L18" s="7"/>
      <c r="M18" s="8"/>
      <c r="N18" s="42" t="s">
        <v>28</v>
      </c>
      <c r="O18" s="22">
        <f>SUM(O12:O17)</f>
        <v>1454</v>
      </c>
      <c r="P18" s="75">
        <f>SUM(P12:P17)</f>
        <v>1096</v>
      </c>
      <c r="Q18" s="23">
        <f t="shared" si="0"/>
        <v>0.7537826685006878</v>
      </c>
      <c r="R18" s="22">
        <f>'[2]Classement'!$C$20</f>
        <v>1135.2</v>
      </c>
      <c r="U18" s="161"/>
      <c r="W18" s="49" t="s">
        <v>24</v>
      </c>
      <c r="X18" s="43" t="s">
        <v>147</v>
      </c>
      <c r="Y18" s="43">
        <v>294</v>
      </c>
      <c r="Z18" s="43"/>
      <c r="AA18" s="43"/>
      <c r="AB18" s="139">
        <f t="shared" si="1"/>
        <v>294</v>
      </c>
    </row>
    <row r="19" spans="2:28" ht="15" customHeight="1" thickBot="1">
      <c r="B19" s="180">
        <f>'[1]Pool-gardien'!$B$23</f>
        <v>27.4986301369863</v>
      </c>
      <c r="C19" s="139" t="str">
        <f>'[1]Pool-gardien'!$C$23</f>
        <v>Nyi</v>
      </c>
      <c r="D19" s="227" t="str">
        <f>'[1]Pool-gardien'!$D$23</f>
        <v>Rick Dipietro</v>
      </c>
      <c r="E19" s="139">
        <v>1</v>
      </c>
      <c r="F19" s="139">
        <v>0</v>
      </c>
      <c r="G19" s="139">
        <v>0</v>
      </c>
      <c r="H19" s="139">
        <v>0</v>
      </c>
      <c r="I19" s="139">
        <v>0</v>
      </c>
      <c r="J19" s="139">
        <v>1</v>
      </c>
      <c r="K19" s="203">
        <f t="shared" si="2"/>
        <v>1</v>
      </c>
      <c r="L19" s="7"/>
      <c r="M19" s="8"/>
      <c r="U19" s="161"/>
      <c r="W19" s="49" t="s">
        <v>25</v>
      </c>
      <c r="X19" s="43" t="s">
        <v>152</v>
      </c>
      <c r="Y19" s="43">
        <v>185</v>
      </c>
      <c r="Z19" s="43"/>
      <c r="AA19" s="43"/>
      <c r="AB19" s="139">
        <f t="shared" si="1"/>
        <v>185</v>
      </c>
    </row>
    <row r="20" spans="2:28" ht="15" customHeight="1" thickBot="1">
      <c r="B20" s="180">
        <f>'[1]Pool-gardien'!$B$39</f>
        <v>29.16986301369863</v>
      </c>
      <c r="C20" s="180" t="str">
        <f>'[1]Pool-gardien'!$C$39</f>
        <v>Van</v>
      </c>
      <c r="D20" s="181" t="str">
        <f>'[1]Pool-gardien'!$D$39</f>
        <v>Jason Labarbera</v>
      </c>
      <c r="E20" s="196">
        <v>8</v>
      </c>
      <c r="F20" s="196">
        <v>1</v>
      </c>
      <c r="G20" s="196">
        <v>3</v>
      </c>
      <c r="H20" s="196">
        <v>0</v>
      </c>
      <c r="I20" s="196">
        <v>0</v>
      </c>
      <c r="J20" s="196">
        <v>0</v>
      </c>
      <c r="K20" s="197">
        <f t="shared" si="2"/>
        <v>5</v>
      </c>
      <c r="L20" s="7"/>
      <c r="M20" s="8"/>
      <c r="N20" s="265" t="s">
        <v>64</v>
      </c>
      <c r="O20" s="266"/>
      <c r="P20" s="266"/>
      <c r="Q20" s="266"/>
      <c r="R20" s="267"/>
      <c r="U20" s="161"/>
      <c r="W20" s="49" t="s">
        <v>85</v>
      </c>
      <c r="X20" s="73" t="s">
        <v>95</v>
      </c>
      <c r="Y20" s="43">
        <v>110</v>
      </c>
      <c r="Z20" s="43"/>
      <c r="AA20" s="43"/>
      <c r="AB20" s="139">
        <f t="shared" si="1"/>
        <v>110</v>
      </c>
    </row>
    <row r="21" spans="2:28" ht="15" customHeight="1" thickBot="1">
      <c r="B21" s="274" t="s">
        <v>26</v>
      </c>
      <c r="C21" s="275"/>
      <c r="D21" s="255"/>
      <c r="E21" s="14">
        <f aca="true" t="shared" si="3" ref="E21:J21">SUM(E16:E20)</f>
        <v>100</v>
      </c>
      <c r="F21" s="14">
        <f t="shared" si="3"/>
        <v>48</v>
      </c>
      <c r="G21" s="14">
        <f t="shared" si="3"/>
        <v>15</v>
      </c>
      <c r="H21" s="14">
        <f t="shared" si="3"/>
        <v>7</v>
      </c>
      <c r="I21" s="14">
        <f t="shared" si="3"/>
        <v>0</v>
      </c>
      <c r="J21" s="14">
        <f t="shared" si="3"/>
        <v>3</v>
      </c>
      <c r="K21" s="33">
        <f t="shared" si="2"/>
        <v>142</v>
      </c>
      <c r="L21" s="7"/>
      <c r="M21" s="8"/>
      <c r="N21" s="16" t="s">
        <v>8</v>
      </c>
      <c r="O21" s="17" t="s">
        <v>9</v>
      </c>
      <c r="P21" s="71" t="s">
        <v>10</v>
      </c>
      <c r="Q21" s="18" t="s">
        <v>11</v>
      </c>
      <c r="R21" s="19" t="s">
        <v>68</v>
      </c>
      <c r="U21" s="161"/>
      <c r="W21" s="49" t="s">
        <v>21</v>
      </c>
      <c r="X21" s="43" t="s">
        <v>154</v>
      </c>
      <c r="Y21" s="43">
        <v>334</v>
      </c>
      <c r="Z21" s="43"/>
      <c r="AA21" s="43"/>
      <c r="AB21" s="139">
        <f t="shared" si="1"/>
        <v>334</v>
      </c>
    </row>
    <row r="22" spans="2:28" ht="15" customHeight="1" thickTop="1">
      <c r="B22" s="5"/>
      <c r="C22" s="5"/>
      <c r="D22" s="5"/>
      <c r="E22" s="7"/>
      <c r="F22" s="7"/>
      <c r="G22" s="7"/>
      <c r="H22" s="7"/>
      <c r="I22" s="7"/>
      <c r="J22" s="7"/>
      <c r="K22" s="7"/>
      <c r="L22" s="7"/>
      <c r="M22" s="8"/>
      <c r="N22" s="20" t="s">
        <v>31</v>
      </c>
      <c r="O22" s="27">
        <f>E88</f>
        <v>67</v>
      </c>
      <c r="P22" s="73">
        <f>I88</f>
        <v>125</v>
      </c>
      <c r="Q22" s="29">
        <f>P22/O22</f>
        <v>1.8656716417910448</v>
      </c>
      <c r="R22" s="63"/>
      <c r="U22" s="161"/>
      <c r="W22" s="49" t="s">
        <v>30</v>
      </c>
      <c r="X22" s="43" t="s">
        <v>152</v>
      </c>
      <c r="Y22" s="43">
        <v>594</v>
      </c>
      <c r="Z22" s="43"/>
      <c r="AA22" s="43"/>
      <c r="AB22" s="139">
        <f t="shared" si="1"/>
        <v>594</v>
      </c>
    </row>
    <row r="23" spans="2:28" ht="15" customHeight="1" thickBot="1">
      <c r="B23" s="256" t="s">
        <v>23</v>
      </c>
      <c r="C23" s="257"/>
      <c r="D23" s="257"/>
      <c r="E23" s="257"/>
      <c r="F23" s="257"/>
      <c r="G23" s="257"/>
      <c r="H23" s="257"/>
      <c r="I23" s="258"/>
      <c r="J23" s="7"/>
      <c r="K23" s="7"/>
      <c r="L23" s="7"/>
      <c r="M23" s="8"/>
      <c r="N23" s="26" t="s">
        <v>32</v>
      </c>
      <c r="O23" s="27">
        <f>E97</f>
        <v>17</v>
      </c>
      <c r="P23" s="73">
        <f>K97</f>
        <v>16</v>
      </c>
      <c r="Q23" s="29">
        <f aca="true" t="shared" si="4" ref="Q23:Q28">P23/O23</f>
        <v>0.9411764705882353</v>
      </c>
      <c r="R23" s="63"/>
      <c r="U23" s="161"/>
      <c r="W23" s="49" t="s">
        <v>86</v>
      </c>
      <c r="X23" s="43" t="s">
        <v>152</v>
      </c>
      <c r="Y23" s="43">
        <v>928</v>
      </c>
      <c r="Z23" s="43"/>
      <c r="AA23" s="43"/>
      <c r="AB23" s="139">
        <f t="shared" si="1"/>
        <v>928</v>
      </c>
    </row>
    <row r="24" spans="2:28" ht="15" customHeight="1" thickBot="1">
      <c r="B24" s="30" t="s">
        <v>15</v>
      </c>
      <c r="C24" s="30" t="s">
        <v>29</v>
      </c>
      <c r="D24" s="30" t="s">
        <v>17</v>
      </c>
      <c r="E24" s="31" t="s">
        <v>2</v>
      </c>
      <c r="F24" s="31" t="s">
        <v>21</v>
      </c>
      <c r="G24" s="31" t="s">
        <v>30</v>
      </c>
      <c r="H24" s="32" t="s">
        <v>6</v>
      </c>
      <c r="I24" s="31" t="s">
        <v>11</v>
      </c>
      <c r="J24" s="7"/>
      <c r="K24" s="7"/>
      <c r="L24" s="7"/>
      <c r="M24" s="8"/>
      <c r="N24" s="26" t="s">
        <v>33</v>
      </c>
      <c r="O24" s="27">
        <f>E112</f>
        <v>233</v>
      </c>
      <c r="P24" s="73">
        <f>H112</f>
        <v>109</v>
      </c>
      <c r="Q24" s="29">
        <f t="shared" si="4"/>
        <v>0.4678111587982833</v>
      </c>
      <c r="R24" s="63"/>
      <c r="U24" s="161"/>
      <c r="W24" s="49" t="s">
        <v>87</v>
      </c>
      <c r="X24" s="43" t="s">
        <v>151</v>
      </c>
      <c r="Y24" s="43">
        <v>490</v>
      </c>
      <c r="Z24" s="43"/>
      <c r="AA24" s="43"/>
      <c r="AB24" s="139">
        <f t="shared" si="1"/>
        <v>490</v>
      </c>
    </row>
    <row r="25" spans="2:28" ht="15" customHeight="1" thickTop="1">
      <c r="B25" s="107">
        <f>'[1]POOL-joueus'!$B$31</f>
        <v>28.47945205479452</v>
      </c>
      <c r="C25" s="107" t="str">
        <f>'[1]POOL-joueus'!$C$31</f>
        <v>Van</v>
      </c>
      <c r="D25" s="124" t="str">
        <f>'[1]POOL-joueus'!$D$31</f>
        <v>Daniel Sedin</v>
      </c>
      <c r="E25" s="107">
        <f>'[1]POOL-joueus'!$E$31</f>
        <v>66</v>
      </c>
      <c r="F25" s="107">
        <f>'[1]POOL-joueus'!$F$31</f>
        <v>25</v>
      </c>
      <c r="G25" s="107">
        <f>'[1]POOL-joueus'!$G$31</f>
        <v>39</v>
      </c>
      <c r="H25" s="44">
        <f aca="true" t="shared" si="5" ref="H25:H39">SUM(F25:G25)</f>
        <v>64</v>
      </c>
      <c r="I25" s="45">
        <f aca="true" t="shared" si="6" ref="I25:I39">H25/E25</f>
        <v>0.9696969696969697</v>
      </c>
      <c r="J25" s="7"/>
      <c r="K25" s="7"/>
      <c r="L25" s="7"/>
      <c r="M25" s="8"/>
      <c r="N25" s="26" t="s">
        <v>34</v>
      </c>
      <c r="O25" s="27">
        <f>E121</f>
        <v>170</v>
      </c>
      <c r="P25" s="73">
        <f>H121</f>
        <v>102</v>
      </c>
      <c r="Q25" s="29">
        <f t="shared" si="4"/>
        <v>0.6</v>
      </c>
      <c r="R25" s="63"/>
      <c r="U25" s="161"/>
      <c r="W25" s="49" t="s">
        <v>112</v>
      </c>
      <c r="X25" s="43" t="s">
        <v>151</v>
      </c>
      <c r="Y25" s="43">
        <v>63</v>
      </c>
      <c r="Z25" s="43"/>
      <c r="AA25" s="43"/>
      <c r="AB25" s="139">
        <f t="shared" si="1"/>
        <v>63</v>
      </c>
    </row>
    <row r="26" spans="2:28" ht="15" customHeight="1">
      <c r="B26" s="183">
        <f>'[1]POOL-joueus'!$B$60</f>
        <v>27.22739726027397</v>
      </c>
      <c r="C26" s="183" t="str">
        <f>'[1]POOL-joueus'!$C$60</f>
        <v>Chi</v>
      </c>
      <c r="D26" s="184" t="str">
        <f>'[1]POOL-joueus'!$D$60</f>
        <v>Patrick Sharp</v>
      </c>
      <c r="E26" s="183">
        <v>54</v>
      </c>
      <c r="F26" s="183">
        <v>23</v>
      </c>
      <c r="G26" s="183">
        <v>15</v>
      </c>
      <c r="H26" s="187">
        <f t="shared" si="5"/>
        <v>38</v>
      </c>
      <c r="I26" s="188">
        <f t="shared" si="6"/>
        <v>0.7037037037037037</v>
      </c>
      <c r="J26" s="145"/>
      <c r="K26" s="7"/>
      <c r="L26" s="7"/>
      <c r="M26" s="8"/>
      <c r="N26" s="26" t="s">
        <v>35</v>
      </c>
      <c r="O26" s="27">
        <f>E131</f>
        <v>138</v>
      </c>
      <c r="P26" s="73">
        <f>H131</f>
        <v>56</v>
      </c>
      <c r="Q26" s="29">
        <f t="shared" si="4"/>
        <v>0.4057971014492754</v>
      </c>
      <c r="R26" s="63"/>
      <c r="U26" s="161"/>
      <c r="W26" s="49" t="s">
        <v>88</v>
      </c>
      <c r="X26" s="43" t="s">
        <v>148</v>
      </c>
      <c r="Y26" s="43">
        <v>9</v>
      </c>
      <c r="Z26" s="43"/>
      <c r="AA26" s="43"/>
      <c r="AB26" s="139">
        <f t="shared" si="1"/>
        <v>9</v>
      </c>
    </row>
    <row r="27" spans="2:28" ht="15" customHeight="1" thickBot="1">
      <c r="B27" s="107">
        <f>'[1]POOL-joueus'!$B$64</f>
        <v>36.87123287671233</v>
      </c>
      <c r="C27" s="107" t="str">
        <f>'[1]POOL-joueus'!$C$64</f>
        <v>Car</v>
      </c>
      <c r="D27" s="124" t="str">
        <f>'[1]POOL-joueus'!$D$64</f>
        <v>Ray Whitney</v>
      </c>
      <c r="E27" s="107">
        <f>'[1]POOL-joueus'!$E$64</f>
        <v>70</v>
      </c>
      <c r="F27" s="107">
        <f>'[1]POOL-joueus'!$F$64</f>
        <v>22</v>
      </c>
      <c r="G27" s="107">
        <f>'[1]POOL-joueus'!$G$64</f>
        <v>38</v>
      </c>
      <c r="H27" s="44">
        <f t="shared" si="5"/>
        <v>60</v>
      </c>
      <c r="I27" s="45">
        <f t="shared" si="6"/>
        <v>0.8571428571428571</v>
      </c>
      <c r="J27" s="7"/>
      <c r="K27" s="7"/>
      <c r="L27" s="7"/>
      <c r="M27" s="8"/>
      <c r="N27" s="38" t="s">
        <v>36</v>
      </c>
      <c r="O27" s="117">
        <f>E148</f>
        <v>44</v>
      </c>
      <c r="P27" s="74">
        <f>H148</f>
        <v>19</v>
      </c>
      <c r="Q27" s="41">
        <f t="shared" si="4"/>
        <v>0.4318181818181818</v>
      </c>
      <c r="R27" s="64"/>
      <c r="U27" s="161"/>
      <c r="W27" s="49" t="s">
        <v>160</v>
      </c>
      <c r="X27" s="43" t="s">
        <v>147</v>
      </c>
      <c r="Y27" s="43">
        <v>17</v>
      </c>
      <c r="Z27" s="43"/>
      <c r="AA27" s="43"/>
      <c r="AB27" s="139">
        <f t="shared" si="1"/>
        <v>17</v>
      </c>
    </row>
    <row r="28" spans="2:28" ht="15" customHeight="1">
      <c r="B28" s="106">
        <f>'[1]POOL-joueus'!$B$70</f>
        <v>29.328767123287673</v>
      </c>
      <c r="C28" s="106" t="str">
        <f>'[1]POOL-joueus'!$C$70</f>
        <v>Mtl</v>
      </c>
      <c r="D28" s="126" t="str">
        <f>'[1]POOL-joueus'!$D$70</f>
        <v>Alex Tanguay</v>
      </c>
      <c r="E28" s="106">
        <f>(('[1]POOL-joueus'!$E$70))</f>
        <v>38</v>
      </c>
      <c r="F28" s="106">
        <f>(('[1]POOL-joueus'!$F$70))</f>
        <v>11</v>
      </c>
      <c r="G28" s="106">
        <f>(('[1]POOL-joueus'!$G$70))</f>
        <v>18</v>
      </c>
      <c r="H28" s="44">
        <f t="shared" si="5"/>
        <v>29</v>
      </c>
      <c r="I28" s="45">
        <f t="shared" si="6"/>
        <v>0.7631578947368421</v>
      </c>
      <c r="J28" s="7"/>
      <c r="K28" s="7"/>
      <c r="L28" s="7"/>
      <c r="M28" s="8"/>
      <c r="N28" s="42" t="s">
        <v>37</v>
      </c>
      <c r="O28" s="22">
        <f>SUM(O22:O27)</f>
        <v>669</v>
      </c>
      <c r="P28" s="72">
        <f>SUM(P22:P27)</f>
        <v>427</v>
      </c>
      <c r="Q28" s="23">
        <f t="shared" si="4"/>
        <v>0.6382660687593423</v>
      </c>
      <c r="R28" s="22">
        <f>'[2]Individuel'!$I$61</f>
        <v>420.7</v>
      </c>
      <c r="U28" s="161"/>
      <c r="W28" s="49" t="s">
        <v>161</v>
      </c>
      <c r="X28" s="43" t="s">
        <v>151</v>
      </c>
      <c r="Y28" s="43">
        <v>39</v>
      </c>
      <c r="Z28" s="43"/>
      <c r="AA28" s="43"/>
      <c r="AB28" s="139">
        <f t="shared" si="1"/>
        <v>39</v>
      </c>
    </row>
    <row r="29" spans="2:28" ht="15" customHeight="1" thickBot="1">
      <c r="B29" s="109">
        <f>'[1]POOL-joueus'!$B$75</f>
        <v>27.556164383561644</v>
      </c>
      <c r="C29" s="109" t="str">
        <f>'[1]POOL-joueus'!$C$75</f>
        <v>Nsh</v>
      </c>
      <c r="D29" s="111" t="str">
        <f>'[1]POOL-joueus'!$D$75</f>
        <v>Matin Erat</v>
      </c>
      <c r="E29" s="109">
        <f>'[1]POOL-joueus'!$E$75</f>
        <v>63</v>
      </c>
      <c r="F29" s="109">
        <f>'[1]POOL-joueus'!$F$75</f>
        <v>16</v>
      </c>
      <c r="G29" s="109">
        <f>'[1]POOL-joueus'!$G$75</f>
        <v>26</v>
      </c>
      <c r="H29" s="44">
        <f t="shared" si="5"/>
        <v>42</v>
      </c>
      <c r="I29" s="45">
        <f t="shared" si="6"/>
        <v>0.6666666666666666</v>
      </c>
      <c r="J29" s="7"/>
      <c r="K29" s="7"/>
      <c r="L29" s="7"/>
      <c r="M29" s="8"/>
      <c r="U29" s="161"/>
      <c r="W29" s="49" t="s">
        <v>165</v>
      </c>
      <c r="X29" s="43" t="s">
        <v>147</v>
      </c>
      <c r="Y29" s="43">
        <v>26.2</v>
      </c>
      <c r="Z29" s="43"/>
      <c r="AA29" s="43"/>
      <c r="AB29" s="160"/>
    </row>
    <row r="30" spans="2:28" ht="15" customHeight="1">
      <c r="B30" s="107">
        <f>'[1]POOL-joueus'!$B$117</f>
        <v>23.063013698630137</v>
      </c>
      <c r="C30" s="107" t="str">
        <f>'[1]POOL-joueus'!$C$117</f>
        <v>Col</v>
      </c>
      <c r="D30" s="124" t="str">
        <f>'[1]POOL-joueus'!$D$117</f>
        <v>Wojtek Wolski</v>
      </c>
      <c r="E30" s="107">
        <f>'[1]POOL-joueus'!$E$117</f>
        <v>67</v>
      </c>
      <c r="F30" s="107">
        <f>'[1]POOL-joueus'!$F$117</f>
        <v>14</v>
      </c>
      <c r="G30" s="107">
        <f>'[1]POOL-joueus'!$G$117</f>
        <v>23</v>
      </c>
      <c r="H30" s="44">
        <f t="shared" si="5"/>
        <v>37</v>
      </c>
      <c r="I30" s="45">
        <f t="shared" si="6"/>
        <v>0.5522388059701493</v>
      </c>
      <c r="J30" s="7"/>
      <c r="K30" s="7"/>
      <c r="L30" s="7"/>
      <c r="M30" s="8"/>
      <c r="N30" s="265" t="s">
        <v>60</v>
      </c>
      <c r="O30" s="266"/>
      <c r="P30" s="266"/>
      <c r="Q30" s="266"/>
      <c r="R30" s="267"/>
      <c r="U30" s="161"/>
      <c r="W30" s="159"/>
      <c r="X30" s="298" t="s">
        <v>81</v>
      </c>
      <c r="Y30" s="299"/>
      <c r="Z30" s="298" t="s">
        <v>158</v>
      </c>
      <c r="AA30" s="299"/>
      <c r="AB30" s="160"/>
    </row>
    <row r="31" spans="2:28" ht="15" customHeight="1" thickBot="1">
      <c r="B31" s="189">
        <f>'[1]POOL-joueus'!$B$358</f>
        <v>32.24109589041096</v>
      </c>
      <c r="C31" s="189" t="str">
        <f>'[1]POOL-joueus'!$C$358</f>
        <v>Det</v>
      </c>
      <c r="D31" s="190" t="str">
        <f>'[1]POOL-joueus'!$D$358</f>
        <v>Mikael Samuelsson</v>
      </c>
      <c r="E31" s="189">
        <v>51</v>
      </c>
      <c r="F31" s="189">
        <v>14</v>
      </c>
      <c r="G31" s="189">
        <v>13</v>
      </c>
      <c r="H31" s="187">
        <f t="shared" si="5"/>
        <v>27</v>
      </c>
      <c r="I31" s="188">
        <f t="shared" si="6"/>
        <v>0.5294117647058824</v>
      </c>
      <c r="J31" s="7"/>
      <c r="K31" s="7"/>
      <c r="L31" s="7"/>
      <c r="M31" s="8"/>
      <c r="N31" s="16" t="s">
        <v>8</v>
      </c>
      <c r="O31" s="17" t="s">
        <v>9</v>
      </c>
      <c r="P31" s="17" t="s">
        <v>62</v>
      </c>
      <c r="Q31" s="18" t="s">
        <v>11</v>
      </c>
      <c r="R31" s="19" t="s">
        <v>68</v>
      </c>
      <c r="U31" s="161"/>
      <c r="W31" s="49" t="s">
        <v>167</v>
      </c>
      <c r="X31" s="259">
        <v>0</v>
      </c>
      <c r="Y31" s="260"/>
      <c r="Z31" s="259"/>
      <c r="AA31" s="260"/>
      <c r="AB31" s="140">
        <f>Z31+X31</f>
        <v>0</v>
      </c>
    </row>
    <row r="32" spans="2:28" ht="15" customHeight="1" thickTop="1">
      <c r="B32" s="180">
        <f>'[1]POOL-joueus'!$B$150</f>
        <v>28.706849315068492</v>
      </c>
      <c r="C32" s="180" t="str">
        <f>'[1]POOL-joueus'!$C$150</f>
        <v>Nyi</v>
      </c>
      <c r="D32" s="181" t="str">
        <f>'[1]POOL-joueus'!$D$150</f>
        <v>Trent Hunter</v>
      </c>
      <c r="E32" s="180">
        <v>5</v>
      </c>
      <c r="F32" s="180">
        <v>0</v>
      </c>
      <c r="G32" s="180">
        <v>0</v>
      </c>
      <c r="H32" s="187">
        <f t="shared" si="5"/>
        <v>0</v>
      </c>
      <c r="I32" s="188">
        <f t="shared" si="6"/>
        <v>0</v>
      </c>
      <c r="J32" s="7"/>
      <c r="K32" s="7"/>
      <c r="L32" s="7"/>
      <c r="M32" s="8"/>
      <c r="N32" s="20" t="s">
        <v>21</v>
      </c>
      <c r="O32" s="69"/>
      <c r="P32" s="22">
        <f>F39+F49+F63+F78</f>
        <v>279</v>
      </c>
      <c r="Q32" s="23">
        <f>P32/O34</f>
        <v>0.21661490683229814</v>
      </c>
      <c r="R32" s="22">
        <f>'[2]Individuel'!$D$47</f>
        <v>320.7</v>
      </c>
      <c r="U32" s="161"/>
      <c r="W32" s="49" t="s">
        <v>168</v>
      </c>
      <c r="X32" s="259">
        <v>2</v>
      </c>
      <c r="Y32" s="260"/>
      <c r="Z32" s="259">
        <v>2</v>
      </c>
      <c r="AA32" s="260"/>
      <c r="AB32" s="140">
        <f>Z32+X32</f>
        <v>4</v>
      </c>
    </row>
    <row r="33" spans="2:28" ht="15" customHeight="1">
      <c r="B33" s="107">
        <f>'[1]POOL-joueus'!$B$38</f>
        <v>25.6</v>
      </c>
      <c r="C33" s="107" t="str">
        <f>'[1]POOL-joueus'!$C$38</f>
        <v>Edm</v>
      </c>
      <c r="D33" s="124" t="str">
        <f>'[1]POOL-joueus'!$D$38</f>
        <v>Ales Hemsky</v>
      </c>
      <c r="E33" s="107">
        <f>(('[1]POOL-joueus'!$E$38)-1)-43</f>
        <v>13</v>
      </c>
      <c r="F33" s="107">
        <f>(('[1]POOL-joueus'!$F$38)-2)-15</f>
        <v>4</v>
      </c>
      <c r="G33" s="107">
        <f>(('[1]POOL-joueus'!$G$38))-29</f>
        <v>6</v>
      </c>
      <c r="H33" s="44">
        <f>SUM(F33:G33)</f>
        <v>10</v>
      </c>
      <c r="I33" s="45">
        <f>H33/E33</f>
        <v>0.7692307692307693</v>
      </c>
      <c r="J33" s="7"/>
      <c r="K33" s="7"/>
      <c r="L33" s="7"/>
      <c r="M33" s="8"/>
      <c r="N33" s="26" t="s">
        <v>30</v>
      </c>
      <c r="O33" s="69"/>
      <c r="P33" s="28">
        <f>G39+G49+G63+G78</f>
        <v>550</v>
      </c>
      <c r="Q33" s="29">
        <f>P33/O34</f>
        <v>0.42701863354037267</v>
      </c>
      <c r="R33" s="28">
        <f>'[2]Individuel'!$I$47</f>
        <v>539.3</v>
      </c>
      <c r="U33" s="161"/>
      <c r="W33" s="49" t="s">
        <v>89</v>
      </c>
      <c r="X33" s="259">
        <v>1</v>
      </c>
      <c r="Y33" s="260"/>
      <c r="Z33" s="259"/>
      <c r="AA33" s="260"/>
      <c r="AB33" s="140">
        <f>Z33+X33</f>
        <v>1</v>
      </c>
    </row>
    <row r="34" spans="2:28" ht="15" customHeight="1">
      <c r="B34" s="183">
        <f>'[1]POOL-joueus'!$B$255</f>
        <v>24.12054794520548</v>
      </c>
      <c r="C34" s="183" t="str">
        <f>'[1]POOL-joueus'!$C$255</f>
        <v>Mtl</v>
      </c>
      <c r="D34" s="184" t="str">
        <f>'[1]POOL-joueus'!$D$255</f>
        <v>Sergei Kostitsyn</v>
      </c>
      <c r="E34" s="183">
        <v>40</v>
      </c>
      <c r="F34" s="183">
        <v>6</v>
      </c>
      <c r="G34" s="183">
        <v>15</v>
      </c>
      <c r="H34" s="187">
        <f t="shared" si="5"/>
        <v>21</v>
      </c>
      <c r="I34" s="188">
        <f t="shared" si="6"/>
        <v>0.525</v>
      </c>
      <c r="J34" s="7"/>
      <c r="K34" s="7"/>
      <c r="L34" s="7"/>
      <c r="M34" s="8"/>
      <c r="N34" s="26" t="s">
        <v>55</v>
      </c>
      <c r="O34" s="27">
        <f>E39+E49+E63+E78</f>
        <v>1288</v>
      </c>
      <c r="P34" s="28">
        <f>SUM(P32:P33)</f>
        <v>829</v>
      </c>
      <c r="Q34" s="29">
        <f>P34/O34</f>
        <v>0.6436335403726708</v>
      </c>
      <c r="R34" s="28">
        <f>'[2]Individuel'!$N$47</f>
        <v>860</v>
      </c>
      <c r="U34" s="161"/>
      <c r="W34" s="49" t="s">
        <v>194</v>
      </c>
      <c r="X34" s="259">
        <v>0</v>
      </c>
      <c r="Y34" s="260"/>
      <c r="Z34" s="259"/>
      <c r="AA34" s="260"/>
      <c r="AB34" s="140">
        <f>Z34+X34</f>
        <v>0</v>
      </c>
    </row>
    <row r="35" spans="2:28" ht="15" customHeight="1">
      <c r="B35" s="185">
        <f>'[1]POOL-joueus'!$B$151</f>
        <v>29.29041095890411</v>
      </c>
      <c r="C35" s="185" t="str">
        <f>'[1]POOL-joueus'!$C$151</f>
        <v>Tor</v>
      </c>
      <c r="D35" s="186" t="str">
        <f>'[1]POOL-joueus'!$D$151</f>
        <v>Niklas Hagman</v>
      </c>
      <c r="E35" s="189">
        <v>38</v>
      </c>
      <c r="F35" s="189">
        <v>13</v>
      </c>
      <c r="G35" s="189">
        <v>11</v>
      </c>
      <c r="H35" s="187">
        <f t="shared" si="5"/>
        <v>24</v>
      </c>
      <c r="I35" s="188">
        <f t="shared" si="6"/>
        <v>0.631578947368421</v>
      </c>
      <c r="J35" s="7"/>
      <c r="K35" s="7"/>
      <c r="L35" s="7"/>
      <c r="M35" s="8"/>
      <c r="N35" s="26" t="s">
        <v>56</v>
      </c>
      <c r="O35" s="67"/>
      <c r="P35" s="63"/>
      <c r="Q35" s="68"/>
      <c r="R35" s="29">
        <f>'[2]Individuel'!$D$61</f>
        <v>0.6703402518874818</v>
      </c>
      <c r="U35" s="161"/>
      <c r="W35" s="49" t="s">
        <v>132</v>
      </c>
      <c r="X35" s="268">
        <v>0</v>
      </c>
      <c r="Y35" s="269"/>
      <c r="Z35" s="268"/>
      <c r="AA35" s="269"/>
      <c r="AB35" s="157">
        <f>X35+Z35</f>
        <v>0</v>
      </c>
    </row>
    <row r="36" spans="2:21" ht="15" customHeight="1">
      <c r="B36" s="108">
        <f>'[1]POOL-joueus'!$B$104</f>
        <v>30.36986301369863</v>
      </c>
      <c r="C36" s="108" t="str">
        <f>'[1]POOL-joueus'!$C$104</f>
        <v>Car</v>
      </c>
      <c r="D36" s="110" t="str">
        <f>'[1]POOL-joueus'!$D$104</f>
        <v>Erik Cole</v>
      </c>
      <c r="E36" s="109">
        <f>('[1]POOL-joueus'!$E$104)-55</f>
        <v>13</v>
      </c>
      <c r="F36" s="109">
        <f>('[1]POOL-joueus'!$F$104)-15</f>
        <v>2</v>
      </c>
      <c r="G36" s="109">
        <f>('[1]POOL-joueus'!$G$104)-10</f>
        <v>6</v>
      </c>
      <c r="H36" s="44">
        <f t="shared" si="5"/>
        <v>8</v>
      </c>
      <c r="I36" s="45">
        <f t="shared" si="6"/>
        <v>0.6153846153846154</v>
      </c>
      <c r="J36" s="7"/>
      <c r="K36" s="7"/>
      <c r="L36" s="7"/>
      <c r="M36" s="8"/>
      <c r="N36" s="26" t="s">
        <v>57</v>
      </c>
      <c r="O36" s="27">
        <f>E21</f>
        <v>100</v>
      </c>
      <c r="P36" s="28">
        <f>F21</f>
        <v>48</v>
      </c>
      <c r="Q36" s="29">
        <f>P36/O36</f>
        <v>0.48</v>
      </c>
      <c r="R36" s="28">
        <f>'[2]Individuel'!$D$75</f>
        <v>59.9</v>
      </c>
      <c r="U36" s="161"/>
    </row>
    <row r="37" spans="2:29" ht="15" customHeight="1">
      <c r="B37" s="183">
        <f>'[1]POOL-joueus'!$B$138</f>
        <v>25.96712328767123</v>
      </c>
      <c r="C37" s="183" t="str">
        <f>'[1]POOL-joueus'!$C$138</f>
        <v>Car</v>
      </c>
      <c r="D37" s="184" t="str">
        <f>'[1]POOL-joueus'!$D$138</f>
        <v>Jussi Jokinen</v>
      </c>
      <c r="E37" s="183">
        <v>2</v>
      </c>
      <c r="F37" s="183">
        <v>0</v>
      </c>
      <c r="G37" s="183">
        <v>0</v>
      </c>
      <c r="H37" s="187">
        <f t="shared" si="5"/>
        <v>0</v>
      </c>
      <c r="I37" s="188">
        <f t="shared" si="6"/>
        <v>0</v>
      </c>
      <c r="J37" s="7"/>
      <c r="K37" s="7"/>
      <c r="L37" s="7"/>
      <c r="M37" s="8"/>
      <c r="N37" s="34" t="s">
        <v>58</v>
      </c>
      <c r="O37" s="27">
        <f>E21</f>
        <v>100</v>
      </c>
      <c r="P37" s="28">
        <f>H21</f>
        <v>7</v>
      </c>
      <c r="Q37" s="29">
        <f>P37/O37</f>
        <v>0.07</v>
      </c>
      <c r="R37" s="28">
        <f>'[2]Individuel'!$I$75</f>
        <v>7.1</v>
      </c>
      <c r="U37" s="161"/>
      <c r="V37" s="161"/>
      <c r="W37" s="161"/>
      <c r="X37" s="161"/>
      <c r="Y37" s="161"/>
      <c r="Z37" s="161"/>
      <c r="AA37" s="161"/>
      <c r="AB37" s="161"/>
      <c r="AC37" s="161"/>
    </row>
    <row r="38" spans="2:21" ht="15" customHeight="1" thickBot="1">
      <c r="B38" s="107">
        <f>'[1]POOL-joueus'!$B$451</f>
        <v>34.70958904109589</v>
      </c>
      <c r="C38" s="107" t="str">
        <f>'[1]POOL-joueus'!$C$451</f>
        <v>Nsh</v>
      </c>
      <c r="D38" s="124" t="str">
        <f>'[1]POOL-joueus'!$D$451</f>
        <v>Steve Sullivan</v>
      </c>
      <c r="E38" s="123">
        <f>('[1]POOL-joueus'!$E$451)-21</f>
        <v>6</v>
      </c>
      <c r="F38" s="123">
        <f>('[1]POOL-joueus'!$F$451)-4</f>
        <v>3</v>
      </c>
      <c r="G38" s="123">
        <f>('[1]POOL-joueus'!$G$451)-6</f>
        <v>5</v>
      </c>
      <c r="H38" s="37">
        <f t="shared" si="5"/>
        <v>8</v>
      </c>
      <c r="I38" s="46">
        <f t="shared" si="6"/>
        <v>1.3333333333333333</v>
      </c>
      <c r="M38" s="8"/>
      <c r="N38" s="26" t="s">
        <v>59</v>
      </c>
      <c r="O38" s="27">
        <f>E21</f>
        <v>100</v>
      </c>
      <c r="P38" s="28">
        <f>G21</f>
        <v>15</v>
      </c>
      <c r="Q38" s="29">
        <f>P38/O38</f>
        <v>0.15</v>
      </c>
      <c r="R38" s="28">
        <f>'[2]Individuel'!$N$75</f>
        <v>13.6</v>
      </c>
      <c r="U38" s="161"/>
    </row>
    <row r="39" spans="2:21" ht="15" customHeight="1" thickBot="1">
      <c r="B39" s="274" t="s">
        <v>26</v>
      </c>
      <c r="C39" s="275"/>
      <c r="D39" s="255"/>
      <c r="E39" s="14">
        <f>SUM(E25:E38)</f>
        <v>526</v>
      </c>
      <c r="F39" s="14">
        <f>SUM(F25:F38)</f>
        <v>153</v>
      </c>
      <c r="G39" s="14">
        <f>SUM(G25:G38)</f>
        <v>215</v>
      </c>
      <c r="H39" s="33">
        <f t="shared" si="5"/>
        <v>368</v>
      </c>
      <c r="I39" s="50">
        <f t="shared" si="6"/>
        <v>0.6996197718631179</v>
      </c>
      <c r="J39" s="7"/>
      <c r="K39" s="7"/>
      <c r="L39" s="7"/>
      <c r="M39" s="8"/>
      <c r="N39" s="26" t="s">
        <v>38</v>
      </c>
      <c r="O39" s="70">
        <f>(B16+B20+B25+B26+B27+B28+B29+B30+B31+B38+B43+B44+B45+B46+B53+B54+B55+B56+B58+B61+B72+B76+B92+B101+B102+B103+B104+B110+B116+B117+B119+B125+B126+B129+B135+B136+B140+B141+B142)/39</f>
        <v>27.298559887600984</v>
      </c>
      <c r="P39" s="61"/>
      <c r="Q39" s="62"/>
      <c r="R39" s="63"/>
      <c r="U39" s="161"/>
    </row>
    <row r="40" spans="2:28" ht="1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  <c r="N40" s="34" t="s">
        <v>39</v>
      </c>
      <c r="O40" s="70"/>
      <c r="P40" s="61"/>
      <c r="Q40" s="62"/>
      <c r="R40" s="63"/>
      <c r="U40" s="161"/>
      <c r="W40" s="265" t="s">
        <v>162</v>
      </c>
      <c r="X40" s="266"/>
      <c r="Y40" s="266"/>
      <c r="Z40" s="266"/>
      <c r="AA40" s="266"/>
      <c r="AB40" s="267"/>
    </row>
    <row r="41" spans="2:28" ht="15" customHeight="1" thickBot="1">
      <c r="B41" s="256" t="s">
        <v>24</v>
      </c>
      <c r="C41" s="257"/>
      <c r="D41" s="257"/>
      <c r="E41" s="257"/>
      <c r="F41" s="257"/>
      <c r="G41" s="257"/>
      <c r="H41" s="257"/>
      <c r="I41" s="258"/>
      <c r="J41" s="7"/>
      <c r="K41" s="7"/>
      <c r="L41" s="7"/>
      <c r="M41" s="8"/>
      <c r="N41" s="26" t="s">
        <v>40</v>
      </c>
      <c r="O41" s="70">
        <f>(B16+B20+B25+B26+B27+B28+B29+B30+B31+B38+B43+B44+B45+B46+B53+B54+B55+B56+B58+B61+B72+B76)/22</f>
        <v>28.969987546699873</v>
      </c>
      <c r="P41" s="59"/>
      <c r="Q41" s="60"/>
      <c r="R41" s="125" t="e">
        <f>'[2]Individuel'!$N$61</f>
        <v>#REF!</v>
      </c>
      <c r="U41" s="161"/>
      <c r="W41" s="65" t="s">
        <v>8</v>
      </c>
      <c r="X41" s="66" t="s">
        <v>9</v>
      </c>
      <c r="Y41" s="66" t="s">
        <v>10</v>
      </c>
      <c r="Z41" s="65" t="s">
        <v>11</v>
      </c>
      <c r="AA41" s="65" t="s">
        <v>68</v>
      </c>
      <c r="AB41" s="65" t="s">
        <v>41</v>
      </c>
    </row>
    <row r="42" spans="2:28" ht="15" customHeight="1" thickBot="1" thickTop="1">
      <c r="B42" s="30" t="s">
        <v>15</v>
      </c>
      <c r="C42" s="30" t="s">
        <v>29</v>
      </c>
      <c r="D42" s="30" t="s">
        <v>17</v>
      </c>
      <c r="E42" s="31" t="s">
        <v>2</v>
      </c>
      <c r="F42" s="31" t="s">
        <v>21</v>
      </c>
      <c r="G42" s="31" t="s">
        <v>30</v>
      </c>
      <c r="H42" s="32" t="s">
        <v>6</v>
      </c>
      <c r="I42" s="31" t="s">
        <v>11</v>
      </c>
      <c r="J42" s="7"/>
      <c r="K42" s="7"/>
      <c r="L42" s="7"/>
      <c r="M42" s="8"/>
      <c r="T42" s="53"/>
      <c r="U42" s="161"/>
      <c r="W42" s="48" t="s">
        <v>42</v>
      </c>
      <c r="X42" s="21">
        <v>240</v>
      </c>
      <c r="Y42" s="22">
        <v>166</v>
      </c>
      <c r="Z42" s="23">
        <v>0.6916666666666667</v>
      </c>
      <c r="AA42" s="22">
        <v>191.9</v>
      </c>
      <c r="AB42" s="22" t="s">
        <v>153</v>
      </c>
    </row>
    <row r="43" spans="2:28" ht="15" customHeight="1" thickTop="1">
      <c r="B43" s="107">
        <f>'[1]POOL-joueus'!$B$28</f>
        <v>28.47945205479452</v>
      </c>
      <c r="C43" s="107" t="str">
        <f>'[1]POOL-joueus'!$C$28</f>
        <v>Van</v>
      </c>
      <c r="D43" s="124" t="str">
        <f>'[1]POOL-joueus'!$D$28</f>
        <v>Henrik Sedin</v>
      </c>
      <c r="E43" s="107">
        <f>'[1]POOL-joueus'!$E$28</f>
        <v>66</v>
      </c>
      <c r="F43" s="107">
        <f>'[1]POOL-joueus'!$F$28</f>
        <v>12</v>
      </c>
      <c r="G43" s="107">
        <f>'[1]POOL-joueus'!$G$28</f>
        <v>48</v>
      </c>
      <c r="H43" s="44">
        <f aca="true" t="shared" si="7" ref="H43:H49">SUM(F43:G43)</f>
        <v>60</v>
      </c>
      <c r="I43" s="45">
        <f aca="true" t="shared" si="8" ref="I43:I49">H43/E43</f>
        <v>0.9090909090909091</v>
      </c>
      <c r="J43" s="7"/>
      <c r="K43" s="7"/>
      <c r="L43" s="7"/>
      <c r="M43" s="8"/>
      <c r="N43" s="265" t="s">
        <v>61</v>
      </c>
      <c r="O43" s="266"/>
      <c r="P43" s="266"/>
      <c r="Q43" s="266"/>
      <c r="R43" s="266"/>
      <c r="S43" s="267"/>
      <c r="T43" s="164"/>
      <c r="U43" s="161"/>
      <c r="W43" s="49" t="s">
        <v>43</v>
      </c>
      <c r="X43" s="21">
        <v>279</v>
      </c>
      <c r="Y43" s="22">
        <v>222</v>
      </c>
      <c r="Z43" s="23">
        <v>0.7956989247311828</v>
      </c>
      <c r="AA43" s="22">
        <v>207.1</v>
      </c>
      <c r="AB43" s="28" t="s">
        <v>146</v>
      </c>
    </row>
    <row r="44" spans="2:28" ht="15" customHeight="1" thickBot="1">
      <c r="B44" s="108">
        <f>'[1]POOL-joueus'!$B$16</f>
        <v>29.106849315068494</v>
      </c>
      <c r="C44" s="108" t="str">
        <f>'[1]POOL-joueus'!$C$16</f>
        <v>Dal</v>
      </c>
      <c r="D44" s="110" t="str">
        <f>'[1]POOL-joueus'!$D$16</f>
        <v>Mike Ribeiro</v>
      </c>
      <c r="E44" s="108">
        <f>'[1]POOL-joueus'!$E$16</f>
        <v>68</v>
      </c>
      <c r="F44" s="108">
        <f>'[1]POOL-joueus'!$F$16</f>
        <v>19</v>
      </c>
      <c r="G44" s="108">
        <f>'[1]POOL-joueus'!$G$16</f>
        <v>45</v>
      </c>
      <c r="H44" s="44">
        <f t="shared" si="7"/>
        <v>64</v>
      </c>
      <c r="I44" s="45">
        <f t="shared" si="8"/>
        <v>0.9411764705882353</v>
      </c>
      <c r="J44" s="7"/>
      <c r="K44" s="7"/>
      <c r="L44" s="7"/>
      <c r="M44" s="8"/>
      <c r="N44" s="65" t="s">
        <v>8</v>
      </c>
      <c r="O44" s="66" t="s">
        <v>9</v>
      </c>
      <c r="P44" s="66" t="s">
        <v>10</v>
      </c>
      <c r="Q44" s="65" t="s">
        <v>11</v>
      </c>
      <c r="R44" s="65" t="s">
        <v>68</v>
      </c>
      <c r="S44" s="65" t="s">
        <v>41</v>
      </c>
      <c r="T44" s="53"/>
      <c r="U44" s="161"/>
      <c r="W44" s="49" t="s">
        <v>44</v>
      </c>
      <c r="X44" s="21">
        <v>319</v>
      </c>
      <c r="Y44" s="22">
        <v>255</v>
      </c>
      <c r="Z44" s="23">
        <v>0.799373040752351</v>
      </c>
      <c r="AA44" s="22">
        <v>226.7</v>
      </c>
      <c r="AB44" s="28" t="s">
        <v>146</v>
      </c>
    </row>
    <row r="45" spans="2:28" ht="15" customHeight="1" thickTop="1">
      <c r="B45" s="185">
        <f>'[1]POOL-joueus'!$B$27</f>
        <v>21.567123287671233</v>
      </c>
      <c r="C45" s="185" t="str">
        <f>'[1]POOL-joueus'!$C$27</f>
        <v>L.A.</v>
      </c>
      <c r="D45" s="186" t="str">
        <f>'[1]POOL-joueus'!$D$27</f>
        <v>Anze Kopitar</v>
      </c>
      <c r="E45" s="185">
        <v>53</v>
      </c>
      <c r="F45" s="185">
        <v>16</v>
      </c>
      <c r="G45" s="185">
        <v>27</v>
      </c>
      <c r="H45" s="187">
        <f t="shared" si="7"/>
        <v>43</v>
      </c>
      <c r="I45" s="188">
        <f t="shared" si="8"/>
        <v>0.8113207547169812</v>
      </c>
      <c r="J45" s="7"/>
      <c r="K45" s="7"/>
      <c r="L45" s="7"/>
      <c r="M45" s="8"/>
      <c r="N45" s="48" t="s">
        <v>233</v>
      </c>
      <c r="O45" s="21">
        <v>211</v>
      </c>
      <c r="P45" s="22">
        <v>172</v>
      </c>
      <c r="Q45" s="23">
        <f>P45/O45</f>
        <v>0.8151658767772512</v>
      </c>
      <c r="R45" s="22">
        <v>169.2</v>
      </c>
      <c r="S45" s="22" t="s">
        <v>149</v>
      </c>
      <c r="T45" s="53"/>
      <c r="U45" s="161"/>
      <c r="W45" s="49" t="s">
        <v>45</v>
      </c>
      <c r="X45" s="21">
        <v>255</v>
      </c>
      <c r="Y45" s="22">
        <v>178</v>
      </c>
      <c r="Z45" s="23">
        <v>0.6980392156862745</v>
      </c>
      <c r="AA45" s="22">
        <v>42.1</v>
      </c>
      <c r="AB45" s="28" t="s">
        <v>154</v>
      </c>
    </row>
    <row r="46" spans="2:28" ht="15" customHeight="1">
      <c r="B46" s="108">
        <f>'[1]POOL-joueus'!$B$45</f>
        <v>26.383561643835616</v>
      </c>
      <c r="C46" s="108" t="str">
        <f>'[1]POOL-joueus'!$C$45</f>
        <v>Mtl</v>
      </c>
      <c r="D46" s="110" t="str">
        <f>'[1]POOL-joueus'!$D$45</f>
        <v>Tomas Plekanec</v>
      </c>
      <c r="E46" s="108">
        <f>('[1]POOL-joueus'!$E$45)-6</f>
        <v>60</v>
      </c>
      <c r="F46" s="108">
        <f>('[1]POOL-joueus'!$F$45)-1</f>
        <v>18</v>
      </c>
      <c r="G46" s="108">
        <f>('[1]POOL-joueus'!$G$45)-3</f>
        <v>15</v>
      </c>
      <c r="H46" s="44">
        <f t="shared" si="7"/>
        <v>33</v>
      </c>
      <c r="I46" s="45">
        <f t="shared" si="8"/>
        <v>0.55</v>
      </c>
      <c r="J46" s="7"/>
      <c r="K46" s="7"/>
      <c r="L46" s="7"/>
      <c r="M46" s="8"/>
      <c r="N46" s="49" t="s">
        <v>175</v>
      </c>
      <c r="O46" s="21">
        <v>285</v>
      </c>
      <c r="P46" s="22">
        <v>222</v>
      </c>
      <c r="Q46" s="23">
        <f>P46/O46</f>
        <v>0.7789473684210526</v>
      </c>
      <c r="R46" s="22">
        <v>220.7</v>
      </c>
      <c r="S46" s="28" t="s">
        <v>149</v>
      </c>
      <c r="T46" s="53"/>
      <c r="U46" s="161"/>
      <c r="W46" s="49" t="s">
        <v>46</v>
      </c>
      <c r="X46" s="21">
        <v>270</v>
      </c>
      <c r="Y46" s="22">
        <v>203</v>
      </c>
      <c r="Z46" s="23">
        <v>0.7518518518518519</v>
      </c>
      <c r="AA46" s="22">
        <v>207.9</v>
      </c>
      <c r="AB46" s="28" t="s">
        <v>152</v>
      </c>
    </row>
    <row r="47" spans="2:28" ht="15" customHeight="1">
      <c r="B47" s="183">
        <f>'[1]POOL-joueus'!$B$158</f>
        <v>22.887671232876713</v>
      </c>
      <c r="C47" s="183" t="str">
        <f>'[1]POOL-joueus'!$C$158</f>
        <v>Nyr</v>
      </c>
      <c r="D47" s="184" t="str">
        <f>'[1]POOL-joueus'!$D$158</f>
        <v>Brandon Dubinsky</v>
      </c>
      <c r="E47" s="183">
        <v>3</v>
      </c>
      <c r="F47" s="183">
        <v>0</v>
      </c>
      <c r="G47" s="183">
        <v>0</v>
      </c>
      <c r="H47" s="187">
        <f>SUM(F47:G47)</f>
        <v>0</v>
      </c>
      <c r="I47" s="188">
        <f>H47/E47</f>
        <v>0</v>
      </c>
      <c r="J47" s="7"/>
      <c r="K47" s="7"/>
      <c r="L47" s="7"/>
      <c r="M47" s="8"/>
      <c r="N47" s="49" t="s">
        <v>176</v>
      </c>
      <c r="O47" s="21">
        <v>294</v>
      </c>
      <c r="P47" s="22">
        <v>233</v>
      </c>
      <c r="Q47" s="23">
        <f>P47/O47</f>
        <v>0.7925170068027211</v>
      </c>
      <c r="R47" s="22">
        <v>236.9</v>
      </c>
      <c r="S47" s="28" t="s">
        <v>150</v>
      </c>
      <c r="T47" s="53"/>
      <c r="U47" s="161"/>
      <c r="W47" s="49" t="s">
        <v>47</v>
      </c>
      <c r="X47" s="21">
        <v>300</v>
      </c>
      <c r="Y47" s="22">
        <v>202</v>
      </c>
      <c r="Z47" s="23">
        <v>0.6733333333333333</v>
      </c>
      <c r="AA47" s="22">
        <v>223.7</v>
      </c>
      <c r="AB47" s="28" t="s">
        <v>152</v>
      </c>
    </row>
    <row r="48" spans="2:28" ht="15" customHeight="1" thickBot="1">
      <c r="B48" s="109">
        <f>'[1]POOL-joueus'!$B$139</f>
        <v>25.96164383561644</v>
      </c>
      <c r="C48" s="109" t="str">
        <f>'[1]POOL-joueus'!$C$139</f>
        <v>Fla</v>
      </c>
      <c r="D48" s="111" t="str">
        <f>'[1]POOL-joueus'!$D$139</f>
        <v>Stephen Weiss</v>
      </c>
      <c r="E48" s="113">
        <f>('[1]POOL-joueus'!$E$139)-44</f>
        <v>19</v>
      </c>
      <c r="F48" s="113">
        <f>('[1]POOL-joueus'!$F$139)-8</f>
        <v>3</v>
      </c>
      <c r="G48" s="113">
        <f>('[1]POOL-joueus'!$G$139)-24</f>
        <v>13</v>
      </c>
      <c r="H48" s="37">
        <f t="shared" si="7"/>
        <v>16</v>
      </c>
      <c r="I48" s="46">
        <f t="shared" si="8"/>
        <v>0.8421052631578947</v>
      </c>
      <c r="J48" s="7"/>
      <c r="K48" s="7"/>
      <c r="L48" s="7"/>
      <c r="M48" s="8"/>
      <c r="N48" s="49" t="s">
        <v>177</v>
      </c>
      <c r="O48" s="21">
        <v>275</v>
      </c>
      <c r="P48" s="22">
        <v>168</v>
      </c>
      <c r="Q48" s="23">
        <f>P48/O48</f>
        <v>0.610909090909091</v>
      </c>
      <c r="R48" s="241">
        <v>209</v>
      </c>
      <c r="S48" s="28" t="s">
        <v>153</v>
      </c>
      <c r="T48" s="53"/>
      <c r="U48" s="161"/>
      <c r="W48" s="49" t="s">
        <v>48</v>
      </c>
      <c r="X48" s="21">
        <v>56</v>
      </c>
      <c r="Y48" s="22">
        <v>36</v>
      </c>
      <c r="Z48" s="23">
        <v>0.6428571428571429</v>
      </c>
      <c r="AA48" s="22">
        <v>42.1</v>
      </c>
      <c r="AB48" s="28" t="s">
        <v>154</v>
      </c>
    </row>
    <row r="49" spans="2:21" ht="15" customHeight="1">
      <c r="B49" s="274" t="s">
        <v>26</v>
      </c>
      <c r="C49" s="275"/>
      <c r="D49" s="255"/>
      <c r="E49" s="14">
        <f>SUM(E43:E48)</f>
        <v>269</v>
      </c>
      <c r="F49" s="14">
        <f>SUM(F43:F48)</f>
        <v>68</v>
      </c>
      <c r="G49" s="14">
        <f>SUM(G43:G48)</f>
        <v>148</v>
      </c>
      <c r="H49" s="33">
        <f t="shared" si="7"/>
        <v>216</v>
      </c>
      <c r="I49" s="50">
        <f t="shared" si="8"/>
        <v>0.8029739776951673</v>
      </c>
      <c r="J49" s="7"/>
      <c r="K49" s="7"/>
      <c r="L49" s="7"/>
      <c r="M49" s="8"/>
      <c r="N49" s="49" t="s">
        <v>178</v>
      </c>
      <c r="O49" s="21"/>
      <c r="P49" s="22"/>
      <c r="Q49" s="23"/>
      <c r="R49" s="22"/>
      <c r="S49" s="28"/>
      <c r="T49" s="53"/>
      <c r="U49" s="161"/>
    </row>
    <row r="50" spans="2:21" ht="1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  <c r="N50" s="49" t="s">
        <v>180</v>
      </c>
      <c r="O50" s="21"/>
      <c r="P50" s="22"/>
      <c r="Q50" s="23"/>
      <c r="R50" s="22"/>
      <c r="S50" s="28"/>
      <c r="T50" s="53"/>
      <c r="U50" s="161"/>
    </row>
    <row r="51" spans="2:21" ht="15" customHeight="1" thickBot="1">
      <c r="B51" s="256" t="s">
        <v>25</v>
      </c>
      <c r="C51" s="257"/>
      <c r="D51" s="257"/>
      <c r="E51" s="257"/>
      <c r="F51" s="257"/>
      <c r="G51" s="257"/>
      <c r="H51" s="257"/>
      <c r="I51" s="258"/>
      <c r="J51" s="7"/>
      <c r="K51" s="7"/>
      <c r="L51" s="7"/>
      <c r="M51" s="8"/>
      <c r="N51" s="49" t="s">
        <v>179</v>
      </c>
      <c r="O51" s="21"/>
      <c r="P51" s="22"/>
      <c r="Q51" s="23"/>
      <c r="R51" s="22"/>
      <c r="S51" s="28"/>
      <c r="U51" s="161"/>
    </row>
    <row r="52" spans="2:21" ht="15" customHeight="1" thickBot="1">
      <c r="B52" s="30" t="s">
        <v>15</v>
      </c>
      <c r="C52" s="30" t="s">
        <v>29</v>
      </c>
      <c r="D52" s="30" t="s">
        <v>17</v>
      </c>
      <c r="E52" s="31" t="s">
        <v>2</v>
      </c>
      <c r="F52" s="31" t="s">
        <v>21</v>
      </c>
      <c r="G52" s="31" t="s">
        <v>30</v>
      </c>
      <c r="H52" s="32" t="s">
        <v>6</v>
      </c>
      <c r="I52" s="31" t="s">
        <v>11</v>
      </c>
      <c r="J52" s="7"/>
      <c r="K52" s="7"/>
      <c r="L52" s="7"/>
      <c r="M52" s="8"/>
      <c r="U52" s="161"/>
    </row>
    <row r="53" spans="2:29" ht="15" customHeight="1" thickTop="1">
      <c r="B53" s="107">
        <f>'[1]POOL-joueus'!$B$73</f>
        <v>30.24931506849315</v>
      </c>
      <c r="C53" s="107" t="str">
        <f>'[1]POOL-joueus'!$C$73</f>
        <v>Mtl</v>
      </c>
      <c r="D53" s="124" t="str">
        <f>'[1]POOL-joueus'!$D$73</f>
        <v>Andrei Markov</v>
      </c>
      <c r="E53" s="107">
        <f>'[1]POOL-joueus'!$E$73</f>
        <v>68</v>
      </c>
      <c r="F53" s="107">
        <f>'[1]POOL-joueus'!$F$73</f>
        <v>9</v>
      </c>
      <c r="G53" s="107">
        <f>'[1]POOL-joueus'!$G$73</f>
        <v>43</v>
      </c>
      <c r="H53" s="44">
        <f aca="true" t="shared" si="9" ref="H53:H63">SUM(F53:G53)</f>
        <v>52</v>
      </c>
      <c r="I53" s="45">
        <f aca="true" t="shared" si="10" ref="I53:I63">H53/E53</f>
        <v>0.7647058823529411</v>
      </c>
      <c r="J53" s="7"/>
      <c r="K53" s="7"/>
      <c r="L53" s="7"/>
      <c r="M53" s="8"/>
      <c r="N53" s="1" t="s">
        <v>69</v>
      </c>
      <c r="U53" s="161"/>
      <c r="V53" s="161"/>
      <c r="W53" s="161"/>
      <c r="X53" s="161"/>
      <c r="Y53" s="161"/>
      <c r="Z53" s="161"/>
      <c r="AA53" s="161"/>
      <c r="AB53" s="161"/>
      <c r="AC53" s="161"/>
    </row>
    <row r="54" spans="2:21" ht="15" customHeight="1" thickBot="1">
      <c r="B54" s="107">
        <f>'[1]POOL-joueus'!$B$61</f>
        <v>31.273972602739725</v>
      </c>
      <c r="C54" s="107" t="str">
        <f>'[1]POOL-joueus'!$C$61</f>
        <v>Nyi</v>
      </c>
      <c r="D54" s="124" t="str">
        <f>'[1]POOL-joueus'!$D$61</f>
        <v>Mark Streit</v>
      </c>
      <c r="E54" s="107">
        <f>'[1]POOL-joueus'!$E$61</f>
        <v>63</v>
      </c>
      <c r="F54" s="107">
        <f>'[1]POOL-joueus'!$F$61</f>
        <v>12</v>
      </c>
      <c r="G54" s="107">
        <f>'[1]POOL-joueus'!$G$61</f>
        <v>36</v>
      </c>
      <c r="H54" s="44">
        <f t="shared" si="9"/>
        <v>48</v>
      </c>
      <c r="I54" s="45">
        <f t="shared" si="10"/>
        <v>0.7619047619047619</v>
      </c>
      <c r="J54" s="7"/>
      <c r="K54" s="7"/>
      <c r="L54" s="7"/>
      <c r="M54" s="8"/>
      <c r="N54" s="1" t="s">
        <v>67</v>
      </c>
      <c r="T54"/>
      <c r="U54" s="161"/>
    </row>
    <row r="55" spans="2:29" ht="15" customHeight="1" thickTop="1">
      <c r="B55" s="107">
        <f>'[1]POOL-joueus'!$B$225</f>
        <v>28.315068493150687</v>
      </c>
      <c r="C55" s="107" t="str">
        <f>'[1]POOL-joueus'!$C$225</f>
        <v>Col</v>
      </c>
      <c r="D55" s="124" t="str">
        <f>'[1]POOL-joueus'!$D$225</f>
        <v>John-Michael Liles</v>
      </c>
      <c r="E55" s="107">
        <f>('[1]POOL-joueus'!$E$225)-1</f>
        <v>60</v>
      </c>
      <c r="F55" s="107">
        <f>('[1]POOL-joueus'!$F$225)</f>
        <v>9</v>
      </c>
      <c r="G55" s="107">
        <f>('[1]POOL-joueus'!$G$225)-1</f>
        <v>21</v>
      </c>
      <c r="H55" s="44">
        <f t="shared" si="9"/>
        <v>30</v>
      </c>
      <c r="I55" s="45">
        <f t="shared" si="10"/>
        <v>0.5</v>
      </c>
      <c r="J55" s="7"/>
      <c r="K55" s="7"/>
      <c r="L55" s="7"/>
      <c r="M55" s="99"/>
      <c r="N55" s="100"/>
      <c r="O55" s="100"/>
      <c r="P55" s="100"/>
      <c r="Q55" s="100"/>
      <c r="R55" s="100"/>
      <c r="S55" s="100"/>
      <c r="U55" s="161"/>
      <c r="W55" s="250" t="s">
        <v>119</v>
      </c>
      <c r="X55" s="250"/>
      <c r="Y55" s="250"/>
      <c r="Z55" s="250"/>
      <c r="AA55" s="250"/>
      <c r="AB55" s="250"/>
      <c r="AC55" s="250"/>
    </row>
    <row r="56" spans="2:21" ht="15" customHeight="1">
      <c r="B56" s="185">
        <f>'[1]POOL-joueus'!$B$156</f>
        <v>31.931506849315067</v>
      </c>
      <c r="C56" s="185" t="str">
        <f>'[1]POOL-joueus'!$C$156</f>
        <v>Tor</v>
      </c>
      <c r="D56" s="186" t="str">
        <f>'[1]POOL-joueus'!$D$156</f>
        <v>Pavel Kubina</v>
      </c>
      <c r="E56" s="185">
        <v>55</v>
      </c>
      <c r="F56" s="185">
        <v>8</v>
      </c>
      <c r="G56" s="185">
        <v>19</v>
      </c>
      <c r="H56" s="187">
        <f t="shared" si="9"/>
        <v>27</v>
      </c>
      <c r="I56" s="188">
        <f t="shared" si="10"/>
        <v>0.4909090909090909</v>
      </c>
      <c r="J56" s="7"/>
      <c r="K56" s="7"/>
      <c r="L56" s="7"/>
      <c r="M56" s="2"/>
      <c r="U56" s="161"/>
    </row>
    <row r="57" spans="2:29" ht="15" customHeight="1">
      <c r="B57" s="106">
        <f>'[1]POOL-joueus'!$B$273</f>
        <v>34.942465753424656</v>
      </c>
      <c r="C57" s="106" t="str">
        <f>'[1]POOL-joueus'!$C$273</f>
        <v>Mtl</v>
      </c>
      <c r="D57" s="126" t="str">
        <f>'[1]POOL-joueus'!$D$273</f>
        <v>Roman Hamrlik</v>
      </c>
      <c r="E57" s="106">
        <f>('[1]POOL-joueus'!$E$273)-34</f>
        <v>33</v>
      </c>
      <c r="F57" s="106">
        <f>('[1]POOL-joueus'!$F$273)-4</f>
        <v>0</v>
      </c>
      <c r="G57" s="106">
        <f>('[1]POOL-joueus'!$G$273)-10</f>
        <v>13</v>
      </c>
      <c r="H57" s="44">
        <f>SUM(F57:G57)</f>
        <v>13</v>
      </c>
      <c r="I57" s="45">
        <f>H57/E57</f>
        <v>0.3939393939393939</v>
      </c>
      <c r="J57" s="145"/>
      <c r="K57" s="7"/>
      <c r="L57" s="7"/>
      <c r="M57" s="2"/>
      <c r="U57" s="161"/>
      <c r="W57" s="322" t="s">
        <v>91</v>
      </c>
      <c r="X57" s="322"/>
      <c r="Y57" s="322"/>
      <c r="AA57" s="322" t="s">
        <v>91</v>
      </c>
      <c r="AB57" s="322"/>
      <c r="AC57" s="322"/>
    </row>
    <row r="58" spans="2:29" ht="15" customHeight="1">
      <c r="B58" s="107">
        <f>'[1]POOL-joueus'!$B$160</f>
        <v>39.52602739726027</v>
      </c>
      <c r="C58" s="107" t="str">
        <f>'[1]POOL-joueus'!$C$160</f>
        <v>Mtl</v>
      </c>
      <c r="D58" s="124" t="str">
        <f>'[1]POOL-joueus'!$D$160</f>
        <v>Mathieu Schneider</v>
      </c>
      <c r="E58" s="107">
        <f>(('[1]POOL-joueus'!$E$160))</f>
        <v>55</v>
      </c>
      <c r="F58" s="107">
        <f>(('[1]POOL-joueus'!$F$160))</f>
        <v>7</v>
      </c>
      <c r="G58" s="107">
        <f>(('[1]POOL-joueus'!$G$160))</f>
        <v>17</v>
      </c>
      <c r="H58" s="44">
        <f t="shared" si="9"/>
        <v>24</v>
      </c>
      <c r="I58" s="45">
        <f t="shared" si="10"/>
        <v>0.43636363636363634</v>
      </c>
      <c r="J58" s="7"/>
      <c r="K58" s="7"/>
      <c r="L58" s="7"/>
      <c r="M58" s="2"/>
      <c r="U58" s="161"/>
      <c r="W58" s="47" t="s">
        <v>90</v>
      </c>
      <c r="X58" s="47" t="s">
        <v>92</v>
      </c>
      <c r="Y58" s="47" t="s">
        <v>3</v>
      </c>
      <c r="AA58" s="47" t="s">
        <v>105</v>
      </c>
      <c r="AB58" s="47" t="s">
        <v>92</v>
      </c>
      <c r="AC58" s="47" t="s">
        <v>3</v>
      </c>
    </row>
    <row r="59" spans="2:29" ht="15" customHeight="1">
      <c r="B59" s="108">
        <f>'[1]POOL-joueus'!$B$219</f>
        <v>28.041095890410958</v>
      </c>
      <c r="C59" s="108" t="str">
        <f>'[1]POOL-joueus'!$C$219</f>
        <v>N.J.</v>
      </c>
      <c r="D59" s="110" t="str">
        <f>'[1]POOL-joueus'!$D$219</f>
        <v>Paul Martin</v>
      </c>
      <c r="E59" s="108">
        <f>('[1]POOL-joueus'!$E$219)-50</f>
        <v>8</v>
      </c>
      <c r="F59" s="108">
        <f>('[1]POOL-joueus'!$F$219)-4</f>
        <v>0</v>
      </c>
      <c r="G59" s="108">
        <f>('[1]POOL-joueus'!$G$219)-15</f>
        <v>7</v>
      </c>
      <c r="H59" s="44">
        <f>SUM(F59:G59)</f>
        <v>7</v>
      </c>
      <c r="I59" s="45">
        <f>H59/E59</f>
        <v>0.875</v>
      </c>
      <c r="J59" s="7"/>
      <c r="K59" s="7"/>
      <c r="L59" s="7"/>
      <c r="M59" s="2"/>
      <c r="U59" s="161"/>
      <c r="W59" s="95" t="s">
        <v>100</v>
      </c>
      <c r="X59" s="96" t="s">
        <v>125</v>
      </c>
      <c r="Y59" s="96">
        <v>1430.2</v>
      </c>
      <c r="AA59" s="95" t="s">
        <v>110</v>
      </c>
      <c r="AB59" s="315" t="s">
        <v>118</v>
      </c>
      <c r="AC59" s="328"/>
    </row>
    <row r="60" spans="2:29" ht="15" customHeight="1">
      <c r="B60" s="185">
        <f>'[1]POOL-joueus'!$B$280</f>
        <v>34.55068493150685</v>
      </c>
      <c r="C60" s="185" t="str">
        <f>'[1]POOL-joueus'!$C$280</f>
        <v>Van</v>
      </c>
      <c r="D60" s="186" t="str">
        <f>'[1]POOL-joueus'!$D$280</f>
        <v>Sami Salo</v>
      </c>
      <c r="E60" s="185">
        <v>25</v>
      </c>
      <c r="F60" s="185">
        <v>3</v>
      </c>
      <c r="G60" s="185">
        <v>4</v>
      </c>
      <c r="H60" s="187">
        <f>SUM(F60:G60)</f>
        <v>7</v>
      </c>
      <c r="I60" s="188">
        <f>H60/E60</f>
        <v>0.28</v>
      </c>
      <c r="J60" s="7"/>
      <c r="K60" s="7"/>
      <c r="L60" s="7"/>
      <c r="M60" s="2"/>
      <c r="U60" s="161"/>
      <c r="W60" s="95" t="s">
        <v>101</v>
      </c>
      <c r="X60" s="96" t="s">
        <v>126</v>
      </c>
      <c r="Y60" s="96" t="s">
        <v>127</v>
      </c>
      <c r="AA60" s="95" t="s">
        <v>111</v>
      </c>
      <c r="AB60" s="315" t="s">
        <v>118</v>
      </c>
      <c r="AC60" s="328"/>
    </row>
    <row r="61" spans="2:21" ht="15" customHeight="1">
      <c r="B61" s="185">
        <f>'[1]POOL-joueus'!$B$192</f>
        <v>23.43013698630137</v>
      </c>
      <c r="C61" s="185" t="str">
        <f>'[1]POOL-joueus'!$C$192</f>
        <v>T.B.</v>
      </c>
      <c r="D61" s="186" t="str">
        <f>'[1]POOL-joueus'!$D$192</f>
        <v>Andrej Meszaros</v>
      </c>
      <c r="E61" s="185">
        <v>18</v>
      </c>
      <c r="F61" s="185">
        <v>0</v>
      </c>
      <c r="G61" s="185">
        <v>5</v>
      </c>
      <c r="H61" s="187">
        <f t="shared" si="9"/>
        <v>5</v>
      </c>
      <c r="I61" s="188">
        <f t="shared" si="10"/>
        <v>0.2777777777777778</v>
      </c>
      <c r="J61" s="7"/>
      <c r="K61" s="7"/>
      <c r="L61" s="7"/>
      <c r="M61" s="2"/>
      <c r="U61" s="161"/>
    </row>
    <row r="62" spans="2:21" ht="15" customHeight="1" thickBot="1">
      <c r="B62" s="107"/>
      <c r="C62" s="107"/>
      <c r="D62" s="124"/>
      <c r="E62" s="123"/>
      <c r="F62" s="123"/>
      <c r="G62" s="123"/>
      <c r="H62" s="37">
        <f t="shared" si="9"/>
        <v>0</v>
      </c>
      <c r="I62" s="46" t="e">
        <f t="shared" si="10"/>
        <v>#DIV/0!</v>
      </c>
      <c r="J62" s="7"/>
      <c r="K62" s="7"/>
      <c r="L62" s="7"/>
      <c r="M62" s="2"/>
      <c r="U62" s="161"/>
    </row>
    <row r="63" spans="2:21" ht="12.75">
      <c r="B63" s="274" t="s">
        <v>26</v>
      </c>
      <c r="C63" s="275"/>
      <c r="D63" s="255"/>
      <c r="E63" s="14">
        <f>SUM(E53:E62)</f>
        <v>385</v>
      </c>
      <c r="F63" s="14">
        <f>SUM(F53:F62)</f>
        <v>48</v>
      </c>
      <c r="G63" s="14">
        <f>SUM(G53:G62)</f>
        <v>165</v>
      </c>
      <c r="H63" s="33">
        <f t="shared" si="9"/>
        <v>213</v>
      </c>
      <c r="I63" s="50">
        <f t="shared" si="10"/>
        <v>0.5532467532467532</v>
      </c>
      <c r="J63" s="7"/>
      <c r="K63" s="7"/>
      <c r="L63" s="7"/>
      <c r="M63" s="2"/>
      <c r="U63" s="161"/>
    </row>
    <row r="64" spans="2:21" ht="15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2"/>
      <c r="U64" s="162"/>
    </row>
    <row r="65" spans="2:21" ht="15" customHeight="1" thickBot="1">
      <c r="B65" s="319" t="s">
        <v>141</v>
      </c>
      <c r="C65" s="320"/>
      <c r="D65" s="320"/>
      <c r="E65" s="320"/>
      <c r="F65" s="320"/>
      <c r="G65" s="320"/>
      <c r="H65" s="320"/>
      <c r="I65" s="320"/>
      <c r="J65" s="320"/>
      <c r="K65" s="321"/>
      <c r="L65" s="7"/>
      <c r="M65" s="2"/>
      <c r="U65" s="162"/>
    </row>
    <row r="66" spans="2:21" ht="15" customHeight="1" thickBot="1">
      <c r="B66" s="30" t="s">
        <v>15</v>
      </c>
      <c r="C66" s="30" t="s">
        <v>16</v>
      </c>
      <c r="D66" s="30" t="s">
        <v>17</v>
      </c>
      <c r="E66" s="31" t="s">
        <v>2</v>
      </c>
      <c r="F66" s="31" t="s">
        <v>18</v>
      </c>
      <c r="G66" s="31" t="s">
        <v>19</v>
      </c>
      <c r="H66" s="31" t="s">
        <v>20</v>
      </c>
      <c r="I66" s="31" t="s">
        <v>21</v>
      </c>
      <c r="J66" s="31" t="s">
        <v>22</v>
      </c>
      <c r="K66" s="32" t="s">
        <v>6</v>
      </c>
      <c r="L66" s="7"/>
      <c r="M66" s="2"/>
      <c r="U66" s="161"/>
    </row>
    <row r="67" spans="2:21" ht="15" customHeight="1" thickTop="1">
      <c r="B67" s="121"/>
      <c r="C67" s="121"/>
      <c r="D67" s="122"/>
      <c r="E67" s="121"/>
      <c r="F67" s="121"/>
      <c r="G67" s="121"/>
      <c r="H67" s="121"/>
      <c r="I67" s="121"/>
      <c r="J67" s="121"/>
      <c r="K67" s="44">
        <f>(F67*2)+G67+(H67*4)+(I67*10)+J67</f>
        <v>0</v>
      </c>
      <c r="L67" s="7"/>
      <c r="M67" s="2"/>
      <c r="U67" s="161"/>
    </row>
    <row r="68" spans="2:21" ht="15" customHeight="1" thickBot="1">
      <c r="B68" s="108"/>
      <c r="C68" s="108"/>
      <c r="D68" s="110"/>
      <c r="E68" s="113"/>
      <c r="F68" s="113"/>
      <c r="G68" s="113"/>
      <c r="H68" s="113"/>
      <c r="I68" s="113"/>
      <c r="J68" s="113"/>
      <c r="K68" s="120">
        <f>(F68*2)+G68+(H68*4)+(I68*10)+J68</f>
        <v>0</v>
      </c>
      <c r="L68" s="7"/>
      <c r="M68" s="2"/>
      <c r="U68" s="161"/>
    </row>
    <row r="69" spans="2:21" ht="15" customHeight="1">
      <c r="B69" s="274" t="s">
        <v>26</v>
      </c>
      <c r="C69" s="275"/>
      <c r="D69" s="255"/>
      <c r="E69" s="14">
        <f aca="true" t="shared" si="11" ref="E69:J69">SUM(E66:E68)</f>
        <v>0</v>
      </c>
      <c r="F69" s="14">
        <f t="shared" si="11"/>
        <v>0</v>
      </c>
      <c r="G69" s="14">
        <f t="shared" si="11"/>
        <v>0</v>
      </c>
      <c r="H69" s="14">
        <f t="shared" si="11"/>
        <v>0</v>
      </c>
      <c r="I69" s="14">
        <f t="shared" si="11"/>
        <v>0</v>
      </c>
      <c r="J69" s="14">
        <f t="shared" si="11"/>
        <v>0</v>
      </c>
      <c r="K69" s="33">
        <f>(F69*2)+G69+(H69*4)+(I69*10)+J69</f>
        <v>0</v>
      </c>
      <c r="L69" s="7"/>
      <c r="M69" s="2"/>
      <c r="U69" s="161"/>
    </row>
    <row r="70" spans="2:21" ht="15" customHeight="1" thickBot="1">
      <c r="B70" s="319" t="s">
        <v>140</v>
      </c>
      <c r="C70" s="320"/>
      <c r="D70" s="320"/>
      <c r="E70" s="320"/>
      <c r="F70" s="320"/>
      <c r="G70" s="320"/>
      <c r="H70" s="320"/>
      <c r="I70" s="321"/>
      <c r="L70" s="52"/>
      <c r="M70" s="2"/>
      <c r="U70" s="161"/>
    </row>
    <row r="71" spans="1:21" ht="14.25" thickBot="1">
      <c r="A71" s="30" t="s">
        <v>143</v>
      </c>
      <c r="B71" s="30" t="s">
        <v>15</v>
      </c>
      <c r="C71" s="30" t="s">
        <v>29</v>
      </c>
      <c r="D71" s="30" t="s">
        <v>17</v>
      </c>
      <c r="E71" s="31" t="s">
        <v>2</v>
      </c>
      <c r="F71" s="31" t="s">
        <v>21</v>
      </c>
      <c r="G71" s="31" t="s">
        <v>30</v>
      </c>
      <c r="H71" s="32" t="s">
        <v>6</v>
      </c>
      <c r="I71" s="31" t="s">
        <v>11</v>
      </c>
      <c r="L71" s="7"/>
      <c r="M71" s="2"/>
      <c r="U71" s="161"/>
    </row>
    <row r="72" spans="1:21" ht="15.75" customHeight="1" thickTop="1">
      <c r="A72" s="180" t="s">
        <v>145</v>
      </c>
      <c r="B72" s="180">
        <f>'[1]POOL-joueus'!$B$797</f>
        <v>23.01095890410959</v>
      </c>
      <c r="C72" s="180" t="str">
        <f>'[1]POOL-joueus'!$C$797</f>
        <v>Van</v>
      </c>
      <c r="D72" s="181" t="str">
        <f>'[1]POOL-joueus'!$D$797</f>
        <v>Jannik Hansen</v>
      </c>
      <c r="E72" s="180">
        <v>43</v>
      </c>
      <c r="F72" s="180">
        <v>3</v>
      </c>
      <c r="G72" s="180">
        <v>14</v>
      </c>
      <c r="H72" s="194">
        <f aca="true" t="shared" si="12" ref="H72:H77">SUM(F72:G72)</f>
        <v>17</v>
      </c>
      <c r="I72" s="240">
        <f aca="true" t="shared" si="13" ref="I72:I78">H72/E72</f>
        <v>0.3953488372093023</v>
      </c>
      <c r="L72" s="7"/>
      <c r="M72" s="2"/>
      <c r="U72" s="161"/>
    </row>
    <row r="73" spans="1:21" ht="15" customHeight="1">
      <c r="A73" s="108" t="s">
        <v>144</v>
      </c>
      <c r="B73" s="108">
        <f>'[1]POOL-joueus'!$B$795</f>
        <v>21.53972602739726</v>
      </c>
      <c r="C73" s="108" t="str">
        <f>'[1]POOL-joueus'!$C$795</f>
        <v>Dal</v>
      </c>
      <c r="D73" s="110" t="str">
        <f>'[1]POOL-joueus'!$D$795</f>
        <v>James Neal</v>
      </c>
      <c r="E73" s="108">
        <f>(((('[1]POOL-joueus'!$E$795)-7)-10)-27)-5</f>
        <v>14</v>
      </c>
      <c r="F73" s="108">
        <f>(((('[1]POOL-joueus'!$F$795)-2)-2)-12)-2</f>
        <v>4</v>
      </c>
      <c r="G73" s="108">
        <f>(((('[1]POOL-joueus'!$G$795)-2)-2)-5)-1</f>
        <v>1</v>
      </c>
      <c r="H73" s="33">
        <f t="shared" si="12"/>
        <v>5</v>
      </c>
      <c r="I73" s="23">
        <f>H73/E73</f>
        <v>0.35714285714285715</v>
      </c>
      <c r="L73" s="7"/>
      <c r="M73" s="2"/>
      <c r="U73" s="161"/>
    </row>
    <row r="74" spans="1:21" ht="15" customHeight="1">
      <c r="A74" s="108" t="s">
        <v>145</v>
      </c>
      <c r="B74" s="108">
        <f>'[1]POOL-joueus'!$B$573</f>
        <v>21.18082191780822</v>
      </c>
      <c r="C74" s="108" t="str">
        <f>'[1]POOL-joueus'!$C$573</f>
        <v>Phi</v>
      </c>
      <c r="D74" s="110" t="str">
        <f>'[1]POOL-joueus'!$D$573</f>
        <v>Claude Giroux</v>
      </c>
      <c r="E74" s="108">
        <f>('[1]POOL-joueus'!$E$573)-15</f>
        <v>10</v>
      </c>
      <c r="F74" s="108">
        <f>('[1]POOL-joueus'!$F$573)-4</f>
        <v>1</v>
      </c>
      <c r="G74" s="108">
        <f>('[1]POOL-joueus'!$G$573)-5</f>
        <v>3</v>
      </c>
      <c r="H74" s="33">
        <f t="shared" si="12"/>
        <v>4</v>
      </c>
      <c r="I74" s="23">
        <f t="shared" si="13"/>
        <v>0.4</v>
      </c>
      <c r="L74" s="7"/>
      <c r="M74" s="2"/>
      <c r="U74" s="161"/>
    </row>
    <row r="75" spans="1:21" ht="15" customHeight="1">
      <c r="A75" s="180" t="s">
        <v>235</v>
      </c>
      <c r="B75" s="180">
        <f>'[1]POOL-joueus'!$B$783</f>
        <v>20.47945205479452</v>
      </c>
      <c r="C75" s="180" t="str">
        <f>'[1]POOL-joueus'!$C$783</f>
        <v>Wsh</v>
      </c>
      <c r="D75" s="181" t="str">
        <f>'[1]POOL-joueus'!$D$783</f>
        <v>Karl Alzner</v>
      </c>
      <c r="E75" s="180">
        <v>26</v>
      </c>
      <c r="F75" s="180">
        <v>1</v>
      </c>
      <c r="G75" s="180">
        <v>3</v>
      </c>
      <c r="H75" s="203">
        <f t="shared" si="12"/>
        <v>4</v>
      </c>
      <c r="I75" s="182">
        <f t="shared" si="13"/>
        <v>0.15384615384615385</v>
      </c>
      <c r="L75" s="7"/>
      <c r="M75" s="2"/>
      <c r="U75" s="161"/>
    </row>
    <row r="76" spans="1:21" ht="15" customHeight="1">
      <c r="A76" s="180" t="s">
        <v>144</v>
      </c>
      <c r="B76" s="180">
        <f>'[1]POOL-joueus'!$B$789</f>
        <v>25.457534246575342</v>
      </c>
      <c r="C76" s="180" t="str">
        <f>'[1]POOL-joueus'!$C$789</f>
        <v>Ott</v>
      </c>
      <c r="D76" s="181" t="str">
        <f>'[1]POOL-joueus'!$D$789</f>
        <v>Jesse Winchester</v>
      </c>
      <c r="E76" s="180">
        <v>10</v>
      </c>
      <c r="F76" s="180">
        <v>0</v>
      </c>
      <c r="G76" s="180">
        <v>1</v>
      </c>
      <c r="H76" s="203">
        <f t="shared" si="12"/>
        <v>1</v>
      </c>
      <c r="I76" s="182">
        <f t="shared" si="13"/>
        <v>0.1</v>
      </c>
      <c r="L76" s="7"/>
      <c r="M76" s="2"/>
      <c r="U76" s="161"/>
    </row>
    <row r="77" spans="1:21" ht="15" customHeight="1" thickBot="1">
      <c r="A77" s="202" t="s">
        <v>145</v>
      </c>
      <c r="B77" s="180">
        <f>'[1]POOL-joueus'!$B$800</f>
        <v>24.75890410958904</v>
      </c>
      <c r="C77" s="139" t="str">
        <f>'[1]POOL-joueus'!$C$800</f>
        <v>Nsh</v>
      </c>
      <c r="D77" s="227" t="str">
        <f>'[1]POOL-joueus'!$D$800</f>
        <v>Ryan Jones</v>
      </c>
      <c r="E77" s="228">
        <v>5</v>
      </c>
      <c r="F77" s="228">
        <v>1</v>
      </c>
      <c r="G77" s="228">
        <v>0</v>
      </c>
      <c r="H77" s="211">
        <f t="shared" si="12"/>
        <v>1</v>
      </c>
      <c r="I77" s="212">
        <f t="shared" si="13"/>
        <v>0.2</v>
      </c>
      <c r="L77" s="7"/>
      <c r="M77" s="2"/>
      <c r="U77" s="161"/>
    </row>
    <row r="78" spans="2:21" ht="15" customHeight="1">
      <c r="B78" s="278" t="s">
        <v>7</v>
      </c>
      <c r="C78" s="281"/>
      <c r="D78" s="279"/>
      <c r="E78" s="22">
        <f>SUM(E72:E77)</f>
        <v>108</v>
      </c>
      <c r="F78" s="22">
        <f>SUM(F72:F77)</f>
        <v>10</v>
      </c>
      <c r="G78" s="22">
        <f>SUM(G72:G77)</f>
        <v>22</v>
      </c>
      <c r="H78" s="33">
        <f>SUM(H72:H77)</f>
        <v>32</v>
      </c>
      <c r="I78" s="23">
        <f t="shared" si="13"/>
        <v>0.2962962962962963</v>
      </c>
      <c r="L78" s="7"/>
      <c r="M78" s="2"/>
      <c r="U78" s="161"/>
    </row>
    <row r="79" spans="2:21" ht="15" customHeight="1">
      <c r="B79" s="76"/>
      <c r="C79" s="76"/>
      <c r="D79" s="76"/>
      <c r="E79" s="53"/>
      <c r="F79" s="53"/>
      <c r="G79" s="53"/>
      <c r="H79" s="53"/>
      <c r="I79" s="77"/>
      <c r="L79" s="7"/>
      <c r="M79" s="2"/>
      <c r="U79" s="161"/>
    </row>
    <row r="80" spans="2:21" ht="12.75">
      <c r="B80" s="278" t="s">
        <v>142</v>
      </c>
      <c r="C80" s="281"/>
      <c r="D80" s="279"/>
      <c r="E80" s="109">
        <f>E69+E78</f>
        <v>108</v>
      </c>
      <c r="F80" s="112"/>
      <c r="G80" s="112"/>
      <c r="H80" s="44">
        <f>K69+H78</f>
        <v>32</v>
      </c>
      <c r="I80" s="29">
        <f>H80/E80</f>
        <v>0.2962962962962963</v>
      </c>
      <c r="M80" s="2"/>
      <c r="U80" s="161"/>
    </row>
    <row r="81" spans="2:21" ht="15" customHeight="1" thickBot="1">
      <c r="B81" s="51"/>
      <c r="C81" s="51"/>
      <c r="D81" s="51"/>
      <c r="E81" s="51"/>
      <c r="F81" s="51"/>
      <c r="G81" s="51"/>
      <c r="H81" s="51"/>
      <c r="I81" s="51"/>
      <c r="J81" s="52"/>
      <c r="K81" s="52"/>
      <c r="M81" s="2"/>
      <c r="U81" s="161"/>
    </row>
    <row r="82" spans="2:21" ht="15" customHeight="1">
      <c r="B82" s="280" t="s">
        <v>63</v>
      </c>
      <c r="C82" s="280"/>
      <c r="D82" s="280"/>
      <c r="E82" s="280"/>
      <c r="F82" s="280"/>
      <c r="G82" s="280"/>
      <c r="H82" s="280"/>
      <c r="I82" s="280"/>
      <c r="J82" s="280"/>
      <c r="K82" s="280"/>
      <c r="M82" s="2"/>
      <c r="U82" s="162"/>
    </row>
    <row r="83" spans="2:21" ht="15" customHeight="1">
      <c r="B83" s="53"/>
      <c r="C83" s="53"/>
      <c r="D83" s="53"/>
      <c r="E83" s="53"/>
      <c r="F83" s="53"/>
      <c r="G83" s="53"/>
      <c r="H83" s="53"/>
      <c r="I83" s="53"/>
      <c r="J83" s="7"/>
      <c r="K83" s="7"/>
      <c r="M83" s="2"/>
      <c r="U83" s="162"/>
    </row>
    <row r="84" spans="2:21" ht="15" customHeight="1" thickBot="1">
      <c r="B84" s="53"/>
      <c r="C84" s="248" t="s">
        <v>1</v>
      </c>
      <c r="D84" s="249"/>
      <c r="E84" s="54" t="s">
        <v>2</v>
      </c>
      <c r="F84" s="54" t="s">
        <v>3</v>
      </c>
      <c r="G84" s="54" t="s">
        <v>4</v>
      </c>
      <c r="H84" s="54" t="s">
        <v>5</v>
      </c>
      <c r="I84" s="54" t="s">
        <v>6</v>
      </c>
      <c r="J84" s="53"/>
      <c r="K84" s="53"/>
      <c r="M84" s="2"/>
      <c r="U84" s="163"/>
    </row>
    <row r="85" spans="2:21" ht="15" customHeight="1" thickTop="1">
      <c r="B85" s="53"/>
      <c r="C85" s="317" t="str">
        <f>'[1]Equipes-Pool'!$B$32</f>
        <v>Blackhawks de Chicago</v>
      </c>
      <c r="D85" s="318"/>
      <c r="E85" s="195">
        <v>12</v>
      </c>
      <c r="F85" s="195">
        <v>15</v>
      </c>
      <c r="G85" s="195">
        <v>42</v>
      </c>
      <c r="H85" s="195">
        <v>34</v>
      </c>
      <c r="I85" s="191">
        <f>F85+(G85-H85)</f>
        <v>23</v>
      </c>
      <c r="J85" s="53"/>
      <c r="K85" s="53"/>
      <c r="M85" s="2"/>
      <c r="U85" s="161"/>
    </row>
    <row r="86" spans="2:21" ht="15" customHeight="1">
      <c r="B86" s="53"/>
      <c r="C86" s="326" t="str">
        <f>'[1]Equipes-Pool'!$B$12</f>
        <v>Rangers de New York</v>
      </c>
      <c r="D86" s="327"/>
      <c r="E86" s="244">
        <f>('[1]Equipes-Pool'!$C$12)-55</f>
        <v>13</v>
      </c>
      <c r="F86" s="243">
        <f>('[1]Equipes-Pool'!$D$12)-65</f>
        <v>13</v>
      </c>
      <c r="G86" s="243">
        <f>('[1]Equipes-Pool'!$E$12)-140</f>
        <v>31</v>
      </c>
      <c r="H86" s="243">
        <f>('[1]Equipes-Pool'!$F$12)-153</f>
        <v>32</v>
      </c>
      <c r="I86" s="14">
        <f>F86+(G86-H86)</f>
        <v>12</v>
      </c>
      <c r="J86" s="53"/>
      <c r="K86" s="53"/>
      <c r="M86" s="2"/>
      <c r="U86" s="161"/>
    </row>
    <row r="87" spans="2:21" ht="13.5" thickBot="1">
      <c r="B87" s="53"/>
      <c r="C87" s="305" t="str">
        <f>'[1]Equipes-Pool'!$B$14</f>
        <v>Devils du New Jersey</v>
      </c>
      <c r="D87" s="306"/>
      <c r="E87" s="223">
        <v>42</v>
      </c>
      <c r="F87" s="223">
        <v>57</v>
      </c>
      <c r="G87" s="223">
        <v>136</v>
      </c>
      <c r="H87" s="223">
        <v>103</v>
      </c>
      <c r="I87" s="230">
        <f>F87+(G87-H87)</f>
        <v>90</v>
      </c>
      <c r="J87" s="53"/>
      <c r="K87" s="53"/>
      <c r="M87" s="2"/>
      <c r="U87" s="161"/>
    </row>
    <row r="88" spans="2:21" ht="15" customHeight="1">
      <c r="B88" s="53"/>
      <c r="C88" s="278" t="s">
        <v>7</v>
      </c>
      <c r="D88" s="279"/>
      <c r="E88" s="22">
        <f>SUM(E85:E87)</f>
        <v>67</v>
      </c>
      <c r="F88" s="22">
        <f>SUM(F85:F87)</f>
        <v>85</v>
      </c>
      <c r="G88" s="22">
        <f>SUM(G85:G87)</f>
        <v>209</v>
      </c>
      <c r="H88" s="22">
        <f>SUM(H85:H87)</f>
        <v>169</v>
      </c>
      <c r="I88" s="14">
        <f>F88+(G88-H88)</f>
        <v>125</v>
      </c>
      <c r="J88" s="53"/>
      <c r="K88" s="53"/>
      <c r="M88" s="2"/>
      <c r="U88" s="161"/>
    </row>
    <row r="89" spans="10:21" ht="15" customHeight="1">
      <c r="J89" s="57"/>
      <c r="K89" s="57"/>
      <c r="M89" s="2"/>
      <c r="U89" s="161"/>
    </row>
    <row r="90" spans="2:21" ht="15" customHeight="1">
      <c r="B90" s="251" t="s">
        <v>13</v>
      </c>
      <c r="C90" s="252"/>
      <c r="D90" s="252"/>
      <c r="E90" s="252"/>
      <c r="F90" s="252"/>
      <c r="G90" s="252"/>
      <c r="H90" s="252"/>
      <c r="I90" s="252"/>
      <c r="J90" s="252"/>
      <c r="K90" s="253"/>
      <c r="M90" s="2"/>
      <c r="U90" s="161"/>
    </row>
    <row r="91" spans="2:21" ht="15" customHeight="1" thickBot="1">
      <c r="B91" s="54" t="s">
        <v>15</v>
      </c>
      <c r="C91" s="54" t="s">
        <v>16</v>
      </c>
      <c r="D91" s="54" t="s">
        <v>17</v>
      </c>
      <c r="E91" s="54" t="s">
        <v>2</v>
      </c>
      <c r="F91" s="54" t="s">
        <v>18</v>
      </c>
      <c r="G91" s="54" t="s">
        <v>19</v>
      </c>
      <c r="H91" s="54" t="s">
        <v>20</v>
      </c>
      <c r="I91" s="54" t="s">
        <v>21</v>
      </c>
      <c r="J91" s="54" t="s">
        <v>22</v>
      </c>
      <c r="K91" s="54" t="s">
        <v>6</v>
      </c>
      <c r="M91" s="2"/>
      <c r="U91" s="161"/>
    </row>
    <row r="92" spans="2:21" ht="15" customHeight="1" thickTop="1">
      <c r="B92" s="108">
        <f>'[1]Pool-gardien'!$B$23</f>
        <v>27.4986301369863</v>
      </c>
      <c r="C92" s="22" t="str">
        <f>'[1]Pool-gardien'!$C$23</f>
        <v>Nyi</v>
      </c>
      <c r="D92" s="42" t="str">
        <f>'[1]Pool-gardien'!$D$23</f>
        <v>Rick Dipietro</v>
      </c>
      <c r="E92" s="22">
        <f>('[1]Pool-gardien'!$E$23)-1</f>
        <v>4</v>
      </c>
      <c r="F92" s="22">
        <f>('[1]Pool-gardien'!$F$23)</f>
        <v>1</v>
      </c>
      <c r="G92" s="22">
        <f>('[1]Pool-gardien'!$G$23)</f>
        <v>0</v>
      </c>
      <c r="H92" s="22">
        <f>('[1]Pool-gardien'!$H$23)</f>
        <v>0</v>
      </c>
      <c r="I92" s="22">
        <f>('[1]Pool-gardien'!$I$23)</f>
        <v>0</v>
      </c>
      <c r="J92" s="22">
        <f>('[1]Pool-gardien'!$J$23)-1</f>
        <v>1</v>
      </c>
      <c r="K92" s="14">
        <f aca="true" t="shared" si="14" ref="K92:K97">(F92*2)+G92+(H92*4)+(I92*10)+J92</f>
        <v>3</v>
      </c>
      <c r="M92" s="2"/>
      <c r="U92" s="161"/>
    </row>
    <row r="93" spans="2:21" ht="15" customHeight="1">
      <c r="B93" s="109">
        <f>'[1]Pool-gardien'!$B$39</f>
        <v>29.16986301369863</v>
      </c>
      <c r="C93" s="109" t="str">
        <f>'[1]Pool-gardien'!$C$39</f>
        <v>Van</v>
      </c>
      <c r="D93" s="111" t="str">
        <f>'[1]Pool-gardien'!$D$39</f>
        <v>Jason Labarbera</v>
      </c>
      <c r="E93" s="109">
        <f>(('[1]Pool-gardien'!$E$39)-10)-8</f>
        <v>8</v>
      </c>
      <c r="F93" s="109">
        <f>(('[1]Pool-gardien'!$F$39)-3)-1</f>
        <v>3</v>
      </c>
      <c r="G93" s="109">
        <f>(('[1]Pool-gardien'!$G$39)-1)-3</f>
        <v>2</v>
      </c>
      <c r="H93" s="109">
        <f>(('[1]Pool-gardien'!$H$39)-1)</f>
        <v>1</v>
      </c>
      <c r="I93" s="109">
        <f>(('[1]Pool-gardien'!$I$39)-0)</f>
        <v>0</v>
      </c>
      <c r="J93" s="109">
        <f>(('[1]Pool-gardien'!$J$39)-0)</f>
        <v>0</v>
      </c>
      <c r="K93" s="43">
        <f t="shared" si="14"/>
        <v>12</v>
      </c>
      <c r="M93" s="2"/>
      <c r="U93" s="161"/>
    </row>
    <row r="94" spans="2:21" ht="15" customHeight="1">
      <c r="B94" s="189">
        <f>'[1]Pool-gardien'!$B$8</f>
        <v>29.96164383561644</v>
      </c>
      <c r="C94" s="189" t="str">
        <f>'[1]Pool-gardien'!$C$8</f>
        <v>Van</v>
      </c>
      <c r="D94" s="190" t="str">
        <f>'[1]Pool-gardien'!$D$8</f>
        <v>Roberto Luongo</v>
      </c>
      <c r="E94" s="189">
        <v>2</v>
      </c>
      <c r="F94" s="189">
        <v>0</v>
      </c>
      <c r="G94" s="189">
        <v>1</v>
      </c>
      <c r="H94" s="189">
        <v>0</v>
      </c>
      <c r="I94" s="189">
        <v>0</v>
      </c>
      <c r="J94" s="189">
        <v>0</v>
      </c>
      <c r="K94" s="201">
        <f t="shared" si="14"/>
        <v>1</v>
      </c>
      <c r="U94" s="161"/>
    </row>
    <row r="95" spans="2:21" ht="15" customHeight="1">
      <c r="B95" s="183">
        <f>'[1]Pool-gardien'!$B$30</f>
        <v>21.589041095890412</v>
      </c>
      <c r="C95" s="183" t="str">
        <f>'[1]Pool-gardien'!$C$30</f>
        <v>Mtl</v>
      </c>
      <c r="D95" s="184" t="str">
        <f>'[1]Pool-gardien'!$D$30</f>
        <v>Carey Price</v>
      </c>
      <c r="E95" s="183">
        <v>1</v>
      </c>
      <c r="F95" s="183">
        <v>0</v>
      </c>
      <c r="G95" s="183">
        <v>0</v>
      </c>
      <c r="H95" s="183">
        <v>0</v>
      </c>
      <c r="I95" s="183">
        <v>0</v>
      </c>
      <c r="J95" s="183">
        <v>0</v>
      </c>
      <c r="K95" s="201">
        <f t="shared" si="14"/>
        <v>0</v>
      </c>
      <c r="U95" s="161"/>
    </row>
    <row r="96" spans="2:21" ht="13.5" thickBot="1">
      <c r="B96" s="183">
        <f>'[1]Pool-gardien'!$B$50</f>
        <v>29.457534246575342</v>
      </c>
      <c r="C96" s="140" t="str">
        <f>'[1]Pool-gardien'!$C$50</f>
        <v>Van</v>
      </c>
      <c r="D96" s="141" t="str">
        <f>'[1]Pool-gardien'!$D$50</f>
        <v>Curtis Sanford</v>
      </c>
      <c r="E96" s="223">
        <v>2</v>
      </c>
      <c r="F96" s="223">
        <v>0</v>
      </c>
      <c r="G96" s="223">
        <v>0</v>
      </c>
      <c r="H96" s="223">
        <v>0</v>
      </c>
      <c r="I96" s="223">
        <v>0</v>
      </c>
      <c r="J96" s="223">
        <v>0</v>
      </c>
      <c r="K96" s="210">
        <f t="shared" si="14"/>
        <v>0</v>
      </c>
      <c r="U96" s="161"/>
    </row>
    <row r="97" spans="2:21" ht="12.75">
      <c r="B97" s="278" t="s">
        <v>7</v>
      </c>
      <c r="C97" s="281"/>
      <c r="D97" s="279"/>
      <c r="E97" s="22">
        <f aca="true" t="shared" si="15" ref="E97:J97">SUM(E92:E96)</f>
        <v>17</v>
      </c>
      <c r="F97" s="22">
        <f t="shared" si="15"/>
        <v>4</v>
      </c>
      <c r="G97" s="22">
        <f t="shared" si="15"/>
        <v>3</v>
      </c>
      <c r="H97" s="22">
        <f t="shared" si="15"/>
        <v>1</v>
      </c>
      <c r="I97" s="22">
        <f t="shared" si="15"/>
        <v>0</v>
      </c>
      <c r="J97" s="22">
        <f t="shared" si="15"/>
        <v>1</v>
      </c>
      <c r="K97" s="14">
        <f t="shared" si="14"/>
        <v>16</v>
      </c>
      <c r="M97" s="2"/>
      <c r="U97" s="161"/>
    </row>
    <row r="98" spans="13:21" ht="12.75">
      <c r="M98" s="2"/>
      <c r="U98" s="161"/>
    </row>
    <row r="99" spans="2:21" ht="15" customHeight="1">
      <c r="B99" s="251" t="s">
        <v>23</v>
      </c>
      <c r="C99" s="252"/>
      <c r="D99" s="252"/>
      <c r="E99" s="252"/>
      <c r="F99" s="252"/>
      <c r="G99" s="252"/>
      <c r="H99" s="252"/>
      <c r="I99" s="253"/>
      <c r="M99" s="2"/>
      <c r="U99" s="161"/>
    </row>
    <row r="100" spans="2:21" ht="15" customHeight="1" thickBot="1">
      <c r="B100" s="54" t="s">
        <v>15</v>
      </c>
      <c r="C100" s="54" t="s">
        <v>29</v>
      </c>
      <c r="D100" s="54" t="s">
        <v>17</v>
      </c>
      <c r="E100" s="54" t="s">
        <v>2</v>
      </c>
      <c r="F100" s="54" t="s">
        <v>21</v>
      </c>
      <c r="G100" s="54" t="s">
        <v>30</v>
      </c>
      <c r="H100" s="54" t="s">
        <v>6</v>
      </c>
      <c r="I100" s="54" t="s">
        <v>11</v>
      </c>
      <c r="M100" s="2"/>
      <c r="U100" s="161"/>
    </row>
    <row r="101" spans="2:21" ht="15" customHeight="1" thickTop="1">
      <c r="B101" s="180">
        <f>'[1]POOL-joueus'!$B$138</f>
        <v>25.96712328767123</v>
      </c>
      <c r="C101" s="180" t="str">
        <f>'[1]POOL-joueus'!$C$138</f>
        <v>Car</v>
      </c>
      <c r="D101" s="181" t="str">
        <f>'[1]POOL-joueus'!$D$138</f>
        <v>Jussi Jokinen</v>
      </c>
      <c r="E101" s="180">
        <v>46</v>
      </c>
      <c r="F101" s="180">
        <v>6</v>
      </c>
      <c r="G101" s="180">
        <v>11</v>
      </c>
      <c r="H101" s="139">
        <f aca="true" t="shared" si="16" ref="H101:H112">SUM(F101:G101)</f>
        <v>17</v>
      </c>
      <c r="I101" s="182">
        <f aca="true" t="shared" si="17" ref="I101:I112">H101/E101</f>
        <v>0.3695652173913043</v>
      </c>
      <c r="U101" s="161"/>
    </row>
    <row r="102" spans="2:21" ht="15" customHeight="1">
      <c r="B102" s="109">
        <f>'[1]POOL-joueus'!$B$172</f>
        <v>26.756164383561643</v>
      </c>
      <c r="C102" s="109" t="str">
        <f>'[1]POOL-joueus'!$C$172</f>
        <v>Col</v>
      </c>
      <c r="D102" s="111" t="str">
        <f>'[1]POOL-joueus'!$D$172</f>
        <v>Marek Svatos</v>
      </c>
      <c r="E102" s="109">
        <f>(('[1]POOL-joueus'!$E$172))</f>
        <v>60</v>
      </c>
      <c r="F102" s="109">
        <f>(('[1]POOL-joueus'!$F$172))</f>
        <v>14</v>
      </c>
      <c r="G102" s="109">
        <f>(('[1]POOL-joueus'!$G$172))</f>
        <v>18</v>
      </c>
      <c r="H102" s="22">
        <f t="shared" si="16"/>
        <v>32</v>
      </c>
      <c r="I102" s="23">
        <f t="shared" si="17"/>
        <v>0.5333333333333333</v>
      </c>
      <c r="U102" s="161"/>
    </row>
    <row r="103" spans="2:21" ht="15" customHeight="1">
      <c r="B103" s="107">
        <f>'[1]POOL-joueus'!$B$358</f>
        <v>32.24109589041096</v>
      </c>
      <c r="C103" s="107" t="str">
        <f>'[1]POOL-joueus'!$C$358</f>
        <v>Det</v>
      </c>
      <c r="D103" s="124" t="str">
        <f>'[1]POOL-joueus'!$D$358</f>
        <v>Mikael Samuelsson</v>
      </c>
      <c r="E103" s="106">
        <f>('[1]POOL-joueus'!$E$358)-51</f>
        <v>16</v>
      </c>
      <c r="F103" s="106">
        <f>('[1]POOL-joueus'!$F$358)-14</f>
        <v>3</v>
      </c>
      <c r="G103" s="106">
        <f>('[1]POOL-joueus'!$G$358)-13</f>
        <v>7</v>
      </c>
      <c r="H103" s="22">
        <f t="shared" si="16"/>
        <v>10</v>
      </c>
      <c r="I103" s="23">
        <f t="shared" si="17"/>
        <v>0.625</v>
      </c>
      <c r="J103" s="142"/>
      <c r="U103" s="161"/>
    </row>
    <row r="104" spans="2:21" ht="15" customHeight="1">
      <c r="B104" s="107">
        <f>'[1]POOL-joueus'!$B$151</f>
        <v>29.29041095890411</v>
      </c>
      <c r="C104" s="107" t="str">
        <f>'[1]POOL-joueus'!$C$151</f>
        <v>Tor</v>
      </c>
      <c r="D104" s="124" t="str">
        <f>'[1]POOL-joueus'!$D$151</f>
        <v>Niklas Hagman</v>
      </c>
      <c r="E104" s="106">
        <f>('[1]POOL-joueus'!$E$151)-38</f>
        <v>20</v>
      </c>
      <c r="F104" s="106">
        <f>('[1]POOL-joueus'!$F$151)-13</f>
        <v>6</v>
      </c>
      <c r="G104" s="106">
        <f>('[1]POOL-joueus'!$G$151)-11</f>
        <v>7</v>
      </c>
      <c r="H104" s="22">
        <f t="shared" si="16"/>
        <v>13</v>
      </c>
      <c r="I104" s="23">
        <f t="shared" si="17"/>
        <v>0.65</v>
      </c>
      <c r="U104" s="161"/>
    </row>
    <row r="105" spans="2:21" ht="15" customHeight="1">
      <c r="B105" s="183">
        <f>'[1]POOL-joueus'!$B$104</f>
        <v>30.36986301369863</v>
      </c>
      <c r="C105" s="183" t="str">
        <f>'[1]POOL-joueus'!$C$104</f>
        <v>Car</v>
      </c>
      <c r="D105" s="184" t="str">
        <f>'[1]POOL-joueus'!$D$104</f>
        <v>Erik Cole</v>
      </c>
      <c r="E105" s="183">
        <v>55</v>
      </c>
      <c r="F105" s="183">
        <v>15</v>
      </c>
      <c r="G105" s="183">
        <v>10</v>
      </c>
      <c r="H105" s="139">
        <f aca="true" t="shared" si="18" ref="H105:H110">SUM(F105:G105)</f>
        <v>25</v>
      </c>
      <c r="I105" s="182">
        <f aca="true" t="shared" si="19" ref="I105:I110">H105/E105</f>
        <v>0.45454545454545453</v>
      </c>
      <c r="U105" s="161"/>
    </row>
    <row r="106" spans="2:21" ht="15" customHeight="1">
      <c r="B106" s="108">
        <f>'[1]POOL-joueus'!$B$255</f>
        <v>24.12054794520548</v>
      </c>
      <c r="C106" s="108" t="str">
        <f>'[1]POOL-joueus'!$C$255</f>
        <v>Mtl</v>
      </c>
      <c r="D106" s="110" t="str">
        <f>'[1]POOL-joueus'!$D$255</f>
        <v>Sergei Kostitsyn</v>
      </c>
      <c r="E106" s="109">
        <f>('[1]POOL-joueus'!$E$255)-40</f>
        <v>13</v>
      </c>
      <c r="F106" s="109">
        <f>('[1]POOL-joueus'!$F$255)-6</f>
        <v>2</v>
      </c>
      <c r="G106" s="109">
        <f>('[1]POOL-joueus'!$G$255)-15</f>
        <v>0</v>
      </c>
      <c r="H106" s="22">
        <f t="shared" si="18"/>
        <v>2</v>
      </c>
      <c r="I106" s="23">
        <f t="shared" si="19"/>
        <v>0.15384615384615385</v>
      </c>
      <c r="M106" s="2"/>
      <c r="U106" s="161"/>
    </row>
    <row r="107" spans="2:21" ht="15" customHeight="1">
      <c r="B107" s="108">
        <f>'[1]POOL-joueus'!$B$150</f>
        <v>28.706849315068492</v>
      </c>
      <c r="C107" s="108" t="str">
        <f>'[1]POOL-joueus'!$C$150</f>
        <v>Nyi</v>
      </c>
      <c r="D107" s="110" t="str">
        <f>'[1]POOL-joueus'!$D$150</f>
        <v>Trent Hunter</v>
      </c>
      <c r="E107" s="108">
        <f>((('[1]POOL-joueus'!$E$150)-21)-27)-5</f>
        <v>2</v>
      </c>
      <c r="F107" s="108">
        <f>((('[1]POOL-joueus'!$F$150)-8)-6)-0</f>
        <v>0</v>
      </c>
      <c r="G107" s="108">
        <f>((('[1]POOL-joueus'!$G$150)-7)-10)-0</f>
        <v>0</v>
      </c>
      <c r="H107" s="22">
        <f t="shared" si="18"/>
        <v>0</v>
      </c>
      <c r="I107" s="23">
        <f t="shared" si="19"/>
        <v>0</v>
      </c>
      <c r="J107" s="1" t="s">
        <v>234</v>
      </c>
      <c r="M107" s="2"/>
      <c r="U107" s="161"/>
    </row>
    <row r="108" spans="2:21" ht="12.75">
      <c r="B108" s="109">
        <f>'[1]POOL-joueus'!$B$60</f>
        <v>27.22739726027397</v>
      </c>
      <c r="C108" s="109" t="str">
        <f>'[1]POOL-joueus'!$C$60</f>
        <v>Chi</v>
      </c>
      <c r="D108" s="111" t="str">
        <f>'[1]POOL-joueus'!$D$60</f>
        <v>Patrick Sharp</v>
      </c>
      <c r="E108" s="109">
        <f>('[1]POOL-joueus'!$E$60)-54</f>
        <v>0</v>
      </c>
      <c r="F108" s="109">
        <f>('[1]POOL-joueus'!$F$60)-23</f>
        <v>0</v>
      </c>
      <c r="G108" s="109">
        <f>('[1]POOL-joueus'!$G$60)-15</f>
        <v>0</v>
      </c>
      <c r="H108" s="22">
        <f t="shared" si="18"/>
        <v>0</v>
      </c>
      <c r="I108" s="23" t="e">
        <f t="shared" si="19"/>
        <v>#DIV/0!</v>
      </c>
      <c r="J108" s="1" t="s">
        <v>234</v>
      </c>
      <c r="M108" s="2"/>
      <c r="U108" s="161"/>
    </row>
    <row r="109" spans="2:21" ht="12.75">
      <c r="B109" s="106"/>
      <c r="C109" s="106"/>
      <c r="D109" s="126"/>
      <c r="E109" s="106"/>
      <c r="F109" s="106"/>
      <c r="G109" s="106"/>
      <c r="H109" s="22">
        <f t="shared" si="18"/>
        <v>0</v>
      </c>
      <c r="I109" s="23" t="e">
        <f t="shared" si="19"/>
        <v>#DIV/0!</v>
      </c>
      <c r="M109" s="2"/>
      <c r="U109" s="161"/>
    </row>
    <row r="110" spans="2:21" ht="15" customHeight="1">
      <c r="B110" s="185">
        <f>'[1]POOL-joueus'!$B$451</f>
        <v>34.70958904109589</v>
      </c>
      <c r="C110" s="185" t="str">
        <f>'[1]POOL-joueus'!$C$451</f>
        <v>Nsh</v>
      </c>
      <c r="D110" s="186" t="str">
        <f>'[1]POOL-joueus'!$D$451</f>
        <v>Steve Sullivan</v>
      </c>
      <c r="E110" s="189">
        <v>21</v>
      </c>
      <c r="F110" s="189">
        <v>4</v>
      </c>
      <c r="G110" s="189">
        <v>6</v>
      </c>
      <c r="H110" s="139">
        <f t="shared" si="18"/>
        <v>10</v>
      </c>
      <c r="I110" s="182">
        <f t="shared" si="19"/>
        <v>0.47619047619047616</v>
      </c>
      <c r="M110" s="2"/>
      <c r="U110" s="161"/>
    </row>
    <row r="111" spans="2:21" ht="15" customHeight="1" thickBot="1">
      <c r="B111" s="109"/>
      <c r="C111" s="109"/>
      <c r="D111" s="111"/>
      <c r="E111" s="113"/>
      <c r="F111" s="113"/>
      <c r="G111" s="113"/>
      <c r="H111" s="40">
        <f t="shared" si="16"/>
        <v>0</v>
      </c>
      <c r="I111" s="41" t="e">
        <f t="shared" si="17"/>
        <v>#DIV/0!</v>
      </c>
      <c r="M111" s="2"/>
      <c r="U111" s="161"/>
    </row>
    <row r="112" spans="2:21" ht="15" customHeight="1">
      <c r="B112" s="278" t="s">
        <v>7</v>
      </c>
      <c r="C112" s="281"/>
      <c r="D112" s="279"/>
      <c r="E112" s="22">
        <f>SUM(E101:E111)</f>
        <v>233</v>
      </c>
      <c r="F112" s="22">
        <f>SUM(F101:F111)</f>
        <v>50</v>
      </c>
      <c r="G112" s="22">
        <f>SUM(G101:G111)</f>
        <v>59</v>
      </c>
      <c r="H112" s="22">
        <f t="shared" si="16"/>
        <v>109</v>
      </c>
      <c r="I112" s="23">
        <f t="shared" si="17"/>
        <v>0.4678111587982833</v>
      </c>
      <c r="M112" s="2"/>
      <c r="U112" s="161"/>
    </row>
    <row r="113" spans="13:21" ht="15" customHeight="1">
      <c r="M113" s="2"/>
      <c r="U113" s="161"/>
    </row>
    <row r="114" spans="2:21" ht="15" customHeight="1">
      <c r="B114" s="251" t="s">
        <v>24</v>
      </c>
      <c r="C114" s="252"/>
      <c r="D114" s="252"/>
      <c r="E114" s="252"/>
      <c r="F114" s="252"/>
      <c r="G114" s="252"/>
      <c r="H114" s="252"/>
      <c r="I114" s="253"/>
      <c r="M114" s="2"/>
      <c r="U114" s="161"/>
    </row>
    <row r="115" spans="2:21" ht="15" customHeight="1" thickBot="1">
      <c r="B115" s="54" t="s">
        <v>15</v>
      </c>
      <c r="C115" s="54" t="s">
        <v>29</v>
      </c>
      <c r="D115" s="54" t="s">
        <v>17</v>
      </c>
      <c r="E115" s="54" t="s">
        <v>2</v>
      </c>
      <c r="F115" s="54" t="s">
        <v>21</v>
      </c>
      <c r="G115" s="54" t="s">
        <v>30</v>
      </c>
      <c r="H115" s="54" t="s">
        <v>6</v>
      </c>
      <c r="I115" s="54" t="s">
        <v>11</v>
      </c>
      <c r="M115" s="2"/>
      <c r="U115" s="161"/>
    </row>
    <row r="116" spans="2:21" ht="15" customHeight="1" thickTop="1">
      <c r="B116" s="109">
        <f>'[1]POOL-joueus'!$B$158</f>
        <v>22.887671232876713</v>
      </c>
      <c r="C116" s="109" t="str">
        <f>'[1]POOL-joueus'!$C$158</f>
        <v>Nyr</v>
      </c>
      <c r="D116" s="111" t="str">
        <f>'[1]POOL-joueus'!$D$158</f>
        <v>Brandon Dubinsky</v>
      </c>
      <c r="E116" s="109">
        <f>('[1]POOL-joueus'!$E$158)-3</f>
        <v>65</v>
      </c>
      <c r="F116" s="109">
        <f>('[1]POOL-joueus'!$F$158)</f>
        <v>8</v>
      </c>
      <c r="G116" s="109">
        <f>('[1]POOL-joueus'!$G$158)</f>
        <v>24</v>
      </c>
      <c r="H116" s="22">
        <f aca="true" t="shared" si="20" ref="H116:H121">SUM(F116:G116)</f>
        <v>32</v>
      </c>
      <c r="I116" s="23">
        <f aca="true" t="shared" si="21" ref="I116:I121">H116/E116</f>
        <v>0.49230769230769234</v>
      </c>
      <c r="M116" s="2"/>
      <c r="U116" s="161"/>
    </row>
    <row r="117" spans="2:21" ht="15" customHeight="1">
      <c r="B117" s="183">
        <f>'[1]POOL-joueus'!$B$139</f>
        <v>25.96164383561644</v>
      </c>
      <c r="C117" s="183" t="str">
        <f>'[1]POOL-joueus'!$C$139</f>
        <v>Fla</v>
      </c>
      <c r="D117" s="184" t="str">
        <f>'[1]POOL-joueus'!$D$139</f>
        <v>Stephen Weiss</v>
      </c>
      <c r="E117" s="183">
        <v>44</v>
      </c>
      <c r="F117" s="183">
        <v>8</v>
      </c>
      <c r="G117" s="183">
        <v>24</v>
      </c>
      <c r="H117" s="139">
        <f t="shared" si="20"/>
        <v>32</v>
      </c>
      <c r="I117" s="182">
        <f t="shared" si="21"/>
        <v>0.7272727272727273</v>
      </c>
      <c r="M117" s="2"/>
      <c r="U117" s="161"/>
    </row>
    <row r="118" spans="2:21" ht="15" customHeight="1">
      <c r="B118" s="180">
        <f>'[1]POOL-joueus'!$B$45</f>
        <v>26.383561643835616</v>
      </c>
      <c r="C118" s="180" t="str">
        <f>'[1]POOL-joueus'!$C$45</f>
        <v>Mtl</v>
      </c>
      <c r="D118" s="181" t="str">
        <f>'[1]POOL-joueus'!$D$45</f>
        <v>Tomas Plekanec</v>
      </c>
      <c r="E118" s="180">
        <v>6</v>
      </c>
      <c r="F118" s="180">
        <v>1</v>
      </c>
      <c r="G118" s="180">
        <v>3</v>
      </c>
      <c r="H118" s="139">
        <f t="shared" si="20"/>
        <v>4</v>
      </c>
      <c r="I118" s="182">
        <f t="shared" si="21"/>
        <v>0.6666666666666666</v>
      </c>
      <c r="M118" s="2"/>
      <c r="U118" s="161"/>
    </row>
    <row r="119" spans="2:21" ht="15" customHeight="1">
      <c r="B119" s="108">
        <f>'[1]POOL-joueus'!$B$191</f>
        <v>27.005479452054793</v>
      </c>
      <c r="C119" s="108" t="str">
        <f>'[1]POOL-joueus'!$C$191</f>
        <v>Phx</v>
      </c>
      <c r="D119" s="110" t="str">
        <f>'[1]POOL-joueus'!$D$191</f>
        <v>Matthew Lombardi</v>
      </c>
      <c r="E119" s="108">
        <f>'[1]POOL-joueus'!$E$191</f>
        <v>55</v>
      </c>
      <c r="F119" s="108">
        <f>'[1]POOL-joueus'!$F$191</f>
        <v>10</v>
      </c>
      <c r="G119" s="108">
        <f>'[1]POOL-joueus'!$G$191</f>
        <v>24</v>
      </c>
      <c r="H119" s="22">
        <f t="shared" si="20"/>
        <v>34</v>
      </c>
      <c r="I119" s="23">
        <f t="shared" si="21"/>
        <v>0.6181818181818182</v>
      </c>
      <c r="U119" s="161"/>
    </row>
    <row r="120" spans="2:21" ht="15" customHeight="1" thickBot="1">
      <c r="B120" s="109"/>
      <c r="C120" s="109"/>
      <c r="D120" s="111"/>
      <c r="E120" s="113"/>
      <c r="F120" s="113"/>
      <c r="G120" s="113"/>
      <c r="H120" s="40">
        <f t="shared" si="20"/>
        <v>0</v>
      </c>
      <c r="I120" s="41" t="e">
        <f t="shared" si="21"/>
        <v>#DIV/0!</v>
      </c>
      <c r="L120" s="129"/>
      <c r="U120" s="161"/>
    </row>
    <row r="121" spans="2:21" ht="15" customHeight="1">
      <c r="B121" s="278" t="s">
        <v>7</v>
      </c>
      <c r="C121" s="281"/>
      <c r="D121" s="279"/>
      <c r="E121" s="22">
        <f>SUM(E116:E120)</f>
        <v>170</v>
      </c>
      <c r="F121" s="22">
        <f>SUM(F116:F120)</f>
        <v>27</v>
      </c>
      <c r="G121" s="22">
        <f>SUM(G116:G120)</f>
        <v>75</v>
      </c>
      <c r="H121" s="22">
        <f t="shared" si="20"/>
        <v>102</v>
      </c>
      <c r="I121" s="23">
        <f t="shared" si="21"/>
        <v>0.6</v>
      </c>
      <c r="L121" s="129"/>
      <c r="U121" s="161"/>
    </row>
    <row r="122" spans="12:21" ht="15" customHeight="1">
      <c r="L122" s="129"/>
      <c r="U122" s="161"/>
    </row>
    <row r="123" spans="2:21" ht="15" customHeight="1">
      <c r="B123" s="251" t="s">
        <v>25</v>
      </c>
      <c r="C123" s="252"/>
      <c r="D123" s="252"/>
      <c r="E123" s="252"/>
      <c r="F123" s="252"/>
      <c r="G123" s="252"/>
      <c r="H123" s="252"/>
      <c r="I123" s="253"/>
      <c r="L123" s="129"/>
      <c r="U123" s="161"/>
    </row>
    <row r="124" spans="2:21" ht="15" customHeight="1" thickBot="1">
      <c r="B124" s="54" t="s">
        <v>15</v>
      </c>
      <c r="C124" s="54" t="s">
        <v>29</v>
      </c>
      <c r="D124" s="54" t="s">
        <v>17</v>
      </c>
      <c r="E124" s="54" t="s">
        <v>2</v>
      </c>
      <c r="F124" s="54" t="s">
        <v>21</v>
      </c>
      <c r="G124" s="54" t="s">
        <v>30</v>
      </c>
      <c r="H124" s="54" t="s">
        <v>6</v>
      </c>
      <c r="I124" s="54" t="s">
        <v>11</v>
      </c>
      <c r="L124" s="129"/>
      <c r="U124" s="161"/>
    </row>
    <row r="125" spans="2:21" ht="15" customHeight="1" thickTop="1">
      <c r="B125" s="180">
        <f>'[1]POOL-joueus'!$B$219</f>
        <v>28.041095890410958</v>
      </c>
      <c r="C125" s="180" t="str">
        <f>'[1]POOL-joueus'!$C$219</f>
        <v>N.J.</v>
      </c>
      <c r="D125" s="181" t="str">
        <f>'[1]POOL-joueus'!$D$219</f>
        <v>Paul Martin</v>
      </c>
      <c r="E125" s="180">
        <v>50</v>
      </c>
      <c r="F125" s="180">
        <v>4</v>
      </c>
      <c r="G125" s="180">
        <v>15</v>
      </c>
      <c r="H125" s="139">
        <f aca="true" t="shared" si="22" ref="H125:H131">SUM(F125:G125)</f>
        <v>19</v>
      </c>
      <c r="I125" s="182">
        <f aca="true" t="shared" si="23" ref="I125:I131">H125/E125</f>
        <v>0.38</v>
      </c>
      <c r="L125" s="129"/>
      <c r="U125" s="161"/>
    </row>
    <row r="126" spans="2:21" ht="15" customHeight="1">
      <c r="B126" s="189">
        <f>'[1]POOL-joueus'!$B$273</f>
        <v>34.942465753424656</v>
      </c>
      <c r="C126" s="189" t="str">
        <f>'[1]POOL-joueus'!$C$273</f>
        <v>Mtl</v>
      </c>
      <c r="D126" s="190" t="str">
        <f>'[1]POOL-joueus'!$D$273</f>
        <v>Roman Hamrlik</v>
      </c>
      <c r="E126" s="189">
        <v>34</v>
      </c>
      <c r="F126" s="189">
        <v>4</v>
      </c>
      <c r="G126" s="189">
        <v>10</v>
      </c>
      <c r="H126" s="139">
        <f t="shared" si="22"/>
        <v>14</v>
      </c>
      <c r="I126" s="182">
        <f t="shared" si="23"/>
        <v>0.4117647058823529</v>
      </c>
      <c r="L126" s="129"/>
      <c r="U126" s="161"/>
    </row>
    <row r="127" spans="2:21" ht="15" customHeight="1">
      <c r="B127" s="107">
        <f>'[1]POOL-joueus'!$B$192</f>
        <v>23.43013698630137</v>
      </c>
      <c r="C127" s="107" t="str">
        <f>'[1]POOL-joueus'!$C$192</f>
        <v>T.B.</v>
      </c>
      <c r="D127" s="124" t="str">
        <f>'[1]POOL-joueus'!$D$192</f>
        <v>Andrej Meszaros</v>
      </c>
      <c r="E127" s="107">
        <f>('[1]POOL-joueus'!$E$192)-18</f>
        <v>34</v>
      </c>
      <c r="F127" s="107">
        <f>('[1]POOL-joueus'!$F$192)-0</f>
        <v>2</v>
      </c>
      <c r="G127" s="107">
        <f>('[1]POOL-joueus'!$G$192)-5</f>
        <v>9</v>
      </c>
      <c r="H127" s="22">
        <f t="shared" si="22"/>
        <v>11</v>
      </c>
      <c r="I127" s="23">
        <f t="shared" si="23"/>
        <v>0.3235294117647059</v>
      </c>
      <c r="L127" s="129"/>
      <c r="U127" s="161"/>
    </row>
    <row r="128" spans="2:21" ht="15" customHeight="1">
      <c r="B128" s="107">
        <f>'[1]POOL-joueus'!$B$280</f>
        <v>34.55068493150685</v>
      </c>
      <c r="C128" s="107" t="str">
        <f>'[1]POOL-joueus'!$C$280</f>
        <v>Van</v>
      </c>
      <c r="D128" s="124" t="str">
        <f>'[1]POOL-joueus'!$D$280</f>
        <v>Sami Salo</v>
      </c>
      <c r="E128" s="107">
        <f>('[1]POOL-joueus'!$E$280)-25</f>
        <v>19</v>
      </c>
      <c r="F128" s="107">
        <f>('[1]POOL-joueus'!$F$280)-3</f>
        <v>2</v>
      </c>
      <c r="G128" s="107">
        <f>('[1]POOL-joueus'!$G$280)-4</f>
        <v>9</v>
      </c>
      <c r="H128" s="22">
        <f>SUM(F128:G128)</f>
        <v>11</v>
      </c>
      <c r="I128" s="23">
        <f>H128/E128</f>
        <v>0.5789473684210527</v>
      </c>
      <c r="L128" s="129"/>
      <c r="U128" s="161"/>
    </row>
    <row r="129" spans="2:21" ht="15" customHeight="1">
      <c r="B129" s="185">
        <f>'[1]POOL-joueus'!$B$225</f>
        <v>28.315068493150687</v>
      </c>
      <c r="C129" s="185" t="str">
        <f>'[1]POOL-joueus'!$C$225</f>
        <v>Col</v>
      </c>
      <c r="D129" s="186" t="str">
        <f>'[1]POOL-joueus'!$D$225</f>
        <v>John-Michael Liles</v>
      </c>
      <c r="E129" s="185">
        <v>1</v>
      </c>
      <c r="F129" s="185">
        <v>0</v>
      </c>
      <c r="G129" s="185">
        <v>1</v>
      </c>
      <c r="H129" s="139">
        <f t="shared" si="22"/>
        <v>1</v>
      </c>
      <c r="I129" s="182">
        <f t="shared" si="23"/>
        <v>1</v>
      </c>
      <c r="L129" s="129"/>
      <c r="U129" s="161"/>
    </row>
    <row r="130" spans="2:21" ht="15" customHeight="1" thickBot="1">
      <c r="B130" s="108"/>
      <c r="C130" s="108"/>
      <c r="D130" s="110"/>
      <c r="E130" s="113"/>
      <c r="F130" s="113"/>
      <c r="G130" s="113"/>
      <c r="H130" s="40">
        <f t="shared" si="22"/>
        <v>0</v>
      </c>
      <c r="I130" s="41" t="e">
        <f t="shared" si="23"/>
        <v>#DIV/0!</v>
      </c>
      <c r="L130" s="129"/>
      <c r="U130" s="161"/>
    </row>
    <row r="131" spans="2:21" ht="15" customHeight="1">
      <c r="B131" s="278" t="s">
        <v>7</v>
      </c>
      <c r="C131" s="281"/>
      <c r="D131" s="279"/>
      <c r="E131" s="22">
        <f>SUM(E125:E130)</f>
        <v>138</v>
      </c>
      <c r="F131" s="22">
        <f>SUM(F125:F130)</f>
        <v>12</v>
      </c>
      <c r="G131" s="22">
        <f>SUM(G125:G130)</f>
        <v>44</v>
      </c>
      <c r="H131" s="22">
        <f t="shared" si="22"/>
        <v>56</v>
      </c>
      <c r="I131" s="23">
        <f t="shared" si="23"/>
        <v>0.4057971014492754</v>
      </c>
      <c r="L131" s="129"/>
      <c r="U131" s="161"/>
    </row>
    <row r="132" spans="12:21" ht="14.25" customHeight="1">
      <c r="L132" s="136"/>
      <c r="U132" s="161"/>
    </row>
    <row r="133" spans="2:21" ht="12.75" customHeight="1">
      <c r="B133" s="251" t="s">
        <v>141</v>
      </c>
      <c r="C133" s="252"/>
      <c r="D133" s="252"/>
      <c r="E133" s="252"/>
      <c r="F133" s="252"/>
      <c r="G133" s="252"/>
      <c r="H133" s="252"/>
      <c r="I133" s="252"/>
      <c r="J133" s="252"/>
      <c r="K133" s="253"/>
      <c r="L133" s="129"/>
      <c r="U133" s="161"/>
    </row>
    <row r="134" spans="2:21" ht="12" customHeight="1" thickBot="1">
      <c r="B134" s="54" t="s">
        <v>15</v>
      </c>
      <c r="C134" s="54" t="s">
        <v>16</v>
      </c>
      <c r="D134" s="54" t="s">
        <v>17</v>
      </c>
      <c r="E134" s="54" t="s">
        <v>2</v>
      </c>
      <c r="F134" s="54" t="s">
        <v>18</v>
      </c>
      <c r="G134" s="54" t="s">
        <v>19</v>
      </c>
      <c r="H134" s="54" t="s">
        <v>20</v>
      </c>
      <c r="I134" s="54" t="s">
        <v>21</v>
      </c>
      <c r="J134" s="54" t="s">
        <v>22</v>
      </c>
      <c r="K134" s="54" t="s">
        <v>6</v>
      </c>
      <c r="L134" s="129"/>
      <c r="U134" s="161"/>
    </row>
    <row r="135" spans="2:21" ht="11.25" customHeight="1" thickTop="1">
      <c r="B135" s="121">
        <f>'[1]Pool-gardien'!$B$68</f>
        <v>22.024657534246575</v>
      </c>
      <c r="C135" s="121" t="str">
        <f>'[1]Pool-gardien'!$C$68</f>
        <v>Bos</v>
      </c>
      <c r="D135" s="122" t="str">
        <f>'[1]Pool-gardien'!$D$68</f>
        <v>Tuukka Rask</v>
      </c>
      <c r="E135" s="121">
        <f>('[1]Pool-gardien'!$E$68)-1</f>
        <v>0</v>
      </c>
      <c r="F135" s="121">
        <f>('[1]Pool-gardien'!$F$68)-1</f>
        <v>0</v>
      </c>
      <c r="G135" s="121">
        <f>('[1]Pool-gardien'!$G$68)-0</f>
        <v>0</v>
      </c>
      <c r="H135" s="121">
        <f>('[1]Pool-gardien'!$H$68)-1</f>
        <v>0</v>
      </c>
      <c r="I135" s="121">
        <f>('[1]Pool-gardien'!$I$68)-0</f>
        <v>0</v>
      </c>
      <c r="J135" s="121">
        <f>('[1]Pool-gardien'!$J$68)-0</f>
        <v>0</v>
      </c>
      <c r="K135" s="43">
        <f>(F135*2)+G135+(H135*4)+(I135*10)+J135</f>
        <v>0</v>
      </c>
      <c r="L135" s="129"/>
      <c r="U135" s="161"/>
    </row>
    <row r="136" spans="2:21" ht="15" customHeight="1" thickBot="1">
      <c r="B136" s="108"/>
      <c r="C136" s="108"/>
      <c r="D136" s="110"/>
      <c r="E136" s="113"/>
      <c r="F136" s="113"/>
      <c r="G136" s="113"/>
      <c r="H136" s="113"/>
      <c r="I136" s="113"/>
      <c r="J136" s="113"/>
      <c r="K136" s="36">
        <f>(F136*2)+G136+(H136*4)+(I136*10)+J136</f>
        <v>0</v>
      </c>
      <c r="L136" s="129"/>
      <c r="U136" s="161"/>
    </row>
    <row r="137" spans="2:21" ht="15" customHeight="1">
      <c r="B137" s="274" t="s">
        <v>26</v>
      </c>
      <c r="C137" s="275"/>
      <c r="D137" s="255"/>
      <c r="E137" s="14">
        <f aca="true" t="shared" si="24" ref="E137:J137">SUM(E134:E136)</f>
        <v>0</v>
      </c>
      <c r="F137" s="14">
        <f t="shared" si="24"/>
        <v>0</v>
      </c>
      <c r="G137" s="14">
        <f t="shared" si="24"/>
        <v>0</v>
      </c>
      <c r="H137" s="14">
        <f t="shared" si="24"/>
        <v>0</v>
      </c>
      <c r="I137" s="14">
        <f t="shared" si="24"/>
        <v>0</v>
      </c>
      <c r="J137" s="14">
        <f t="shared" si="24"/>
        <v>0</v>
      </c>
      <c r="K137" s="14">
        <f>(F137*2)+G137+(H137*4)+(I137*10)+J137</f>
        <v>0</v>
      </c>
      <c r="L137" s="129"/>
      <c r="U137" s="161"/>
    </row>
    <row r="138" spans="2:21" ht="15" customHeight="1">
      <c r="B138" s="251" t="s">
        <v>140</v>
      </c>
      <c r="C138" s="252"/>
      <c r="D138" s="252"/>
      <c r="E138" s="252"/>
      <c r="F138" s="252"/>
      <c r="G138" s="252"/>
      <c r="H138" s="252"/>
      <c r="I138" s="253"/>
      <c r="L138" s="129"/>
      <c r="U138" s="161"/>
    </row>
    <row r="139" spans="1:21" ht="15" customHeight="1" thickBot="1">
      <c r="A139" s="54" t="s">
        <v>143</v>
      </c>
      <c r="B139" s="54" t="s">
        <v>15</v>
      </c>
      <c r="C139" s="54" t="s">
        <v>29</v>
      </c>
      <c r="D139" s="54" t="s">
        <v>17</v>
      </c>
      <c r="E139" s="54" t="s">
        <v>2</v>
      </c>
      <c r="F139" s="54" t="s">
        <v>21</v>
      </c>
      <c r="G139" s="54" t="s">
        <v>30</v>
      </c>
      <c r="H139" s="54" t="s">
        <v>6</v>
      </c>
      <c r="I139" s="54" t="s">
        <v>11</v>
      </c>
      <c r="L139" s="129"/>
      <c r="U139" s="161"/>
    </row>
    <row r="140" spans="1:21" ht="15" customHeight="1" thickTop="1">
      <c r="A140" s="108" t="s">
        <v>235</v>
      </c>
      <c r="B140" s="108">
        <f>'[1]POOL-joueus'!$B$783</f>
        <v>20.47945205479452</v>
      </c>
      <c r="C140" s="108" t="str">
        <f>'[1]POOL-joueus'!$C$783</f>
        <v>Wsh</v>
      </c>
      <c r="D140" s="110" t="str">
        <f>'[1]POOL-joueus'!$D$783</f>
        <v>Karl Alzner</v>
      </c>
      <c r="E140" s="108">
        <f>('[1]POOL-joueus'!$E$783)-26</f>
        <v>4</v>
      </c>
      <c r="F140" s="108">
        <f>('[1]POOL-joueus'!$F$783)-1</f>
        <v>0</v>
      </c>
      <c r="G140" s="108">
        <f>('[1]POOL-joueus'!$G$783)-3</f>
        <v>1</v>
      </c>
      <c r="H140" s="28">
        <f aca="true" t="shared" si="25" ref="H140:H145">SUM(F140:G140)</f>
        <v>1</v>
      </c>
      <c r="I140" s="29">
        <f aca="true" t="shared" si="26" ref="I140:I146">H140/E140</f>
        <v>0.25</v>
      </c>
      <c r="L140" s="129"/>
      <c r="M140" s="82"/>
      <c r="N140" s="81"/>
      <c r="O140" s="81"/>
      <c r="P140" s="81"/>
      <c r="Q140" s="81"/>
      <c r="R140" s="81"/>
      <c r="S140" s="81"/>
      <c r="U140" s="161"/>
    </row>
    <row r="141" spans="1:21" ht="15" customHeight="1">
      <c r="A141" s="180" t="s">
        <v>145</v>
      </c>
      <c r="B141" s="180">
        <f>'[1]POOL-joueus'!$B$573</f>
        <v>21.18082191780822</v>
      </c>
      <c r="C141" s="180" t="str">
        <f>'[1]POOL-joueus'!$C$573</f>
        <v>Phi</v>
      </c>
      <c r="D141" s="181" t="str">
        <f>'[1]POOL-joueus'!$D$573</f>
        <v>Claude Giroux</v>
      </c>
      <c r="E141" s="180">
        <v>15</v>
      </c>
      <c r="F141" s="180">
        <v>4</v>
      </c>
      <c r="G141" s="180">
        <v>5</v>
      </c>
      <c r="H141" s="140">
        <f t="shared" si="25"/>
        <v>9</v>
      </c>
      <c r="I141" s="199">
        <f t="shared" si="26"/>
        <v>0.6</v>
      </c>
      <c r="L141" s="129"/>
      <c r="M141" s="2"/>
      <c r="U141" s="161"/>
    </row>
    <row r="142" spans="1:21" ht="15" customHeight="1">
      <c r="A142" s="108" t="s">
        <v>144</v>
      </c>
      <c r="B142" s="108">
        <f>'[1]POOL-joueus'!$B$769</f>
        <v>20.002739726027396</v>
      </c>
      <c r="C142" s="108" t="str">
        <f>'[1]POOL-joueus'!$C$769</f>
        <v>Cgy</v>
      </c>
      <c r="D142" s="110" t="str">
        <f>'[1]POOL-joueus'!$D$769</f>
        <v>Mikael Backlund</v>
      </c>
      <c r="E142" s="108">
        <f>'[1]POOL-joueus'!$E$769</f>
        <v>1</v>
      </c>
      <c r="F142" s="108">
        <f>'[1]POOL-joueus'!$F$769</f>
        <v>0</v>
      </c>
      <c r="G142" s="108">
        <f>'[1]POOL-joueus'!$G$769</f>
        <v>0</v>
      </c>
      <c r="H142" s="28">
        <f t="shared" si="25"/>
        <v>0</v>
      </c>
      <c r="I142" s="29">
        <f>H142/E142</f>
        <v>0</v>
      </c>
      <c r="L142" s="129"/>
      <c r="M142" s="2"/>
      <c r="U142" s="161"/>
    </row>
    <row r="143" spans="1:21" ht="15" customHeight="1">
      <c r="A143" s="43" t="s">
        <v>145</v>
      </c>
      <c r="B143" s="108">
        <f>'[1]POOL-joueus'!$B$800</f>
        <v>24.75890410958904</v>
      </c>
      <c r="C143" s="22" t="str">
        <f>'[1]POOL-joueus'!$C$800</f>
        <v>Nsh</v>
      </c>
      <c r="D143" s="42" t="str">
        <f>'[1]POOL-joueus'!$D$800</f>
        <v>Ryan Jones</v>
      </c>
      <c r="E143" s="28">
        <f>(('[1]POOL-joueus'!$E$800)-10)-5</f>
        <v>24</v>
      </c>
      <c r="F143" s="28">
        <f>(('[1]POOL-joueus'!$F$800)-2)-1</f>
        <v>3</v>
      </c>
      <c r="G143" s="28">
        <f>(('[1]POOL-joueus'!$G$800)-3)-0</f>
        <v>6</v>
      </c>
      <c r="H143" s="28">
        <f t="shared" si="25"/>
        <v>9</v>
      </c>
      <c r="I143" s="29">
        <f t="shared" si="26"/>
        <v>0.375</v>
      </c>
      <c r="J143" s="1" t="s">
        <v>77</v>
      </c>
      <c r="L143" s="129"/>
      <c r="M143" s="2"/>
      <c r="U143" s="161"/>
    </row>
    <row r="144" spans="1:21" ht="15" customHeight="1">
      <c r="A144" s="108" t="s">
        <v>145</v>
      </c>
      <c r="B144" s="108">
        <f>'[1]POOL-joueus'!$B$797</f>
        <v>23.01095890410959</v>
      </c>
      <c r="C144" s="108" t="str">
        <f>'[1]POOL-joueus'!$C$797</f>
        <v>Van</v>
      </c>
      <c r="D144" s="110" t="str">
        <f>'[1]POOL-joueus'!$D$797</f>
        <v>Jannik Hansen</v>
      </c>
      <c r="E144" s="108">
        <f>(('[1]POOL-joueus'!$E$797)-9)-43</f>
        <v>0</v>
      </c>
      <c r="F144" s="108">
        <f>(('[1]POOL-joueus'!$F$797)-3)-3</f>
        <v>0</v>
      </c>
      <c r="G144" s="108">
        <f>(('[1]POOL-joueus'!$G$797)-1)-14</f>
        <v>0</v>
      </c>
      <c r="H144" s="28">
        <f t="shared" si="25"/>
        <v>0</v>
      </c>
      <c r="I144" s="29" t="e">
        <f t="shared" si="26"/>
        <v>#DIV/0!</v>
      </c>
      <c r="J144" s="1" t="s">
        <v>234</v>
      </c>
      <c r="L144" s="129"/>
      <c r="M144" s="2"/>
      <c r="U144" s="161"/>
    </row>
    <row r="145" spans="1:21" ht="15" customHeight="1" thickBot="1">
      <c r="A145" s="108"/>
      <c r="B145" s="108"/>
      <c r="C145" s="108"/>
      <c r="D145" s="110"/>
      <c r="E145" s="113"/>
      <c r="F145" s="113"/>
      <c r="G145" s="113"/>
      <c r="H145" s="114">
        <f t="shared" si="25"/>
        <v>0</v>
      </c>
      <c r="I145" s="115" t="e">
        <f t="shared" si="26"/>
        <v>#DIV/0!</v>
      </c>
      <c r="L145" s="129"/>
      <c r="M145" s="2"/>
      <c r="U145" s="161"/>
    </row>
    <row r="146" spans="2:21" ht="15" customHeight="1">
      <c r="B146" s="278" t="s">
        <v>7</v>
      </c>
      <c r="C146" s="281"/>
      <c r="D146" s="279"/>
      <c r="E146" s="22">
        <f>SUM(E140:E145)</f>
        <v>44</v>
      </c>
      <c r="F146" s="22">
        <f>SUM(F140:F145)</f>
        <v>7</v>
      </c>
      <c r="G146" s="22">
        <f>SUM(G140:G145)</f>
        <v>12</v>
      </c>
      <c r="H146" s="22">
        <f>SUM(H140:H145)</f>
        <v>19</v>
      </c>
      <c r="I146" s="23">
        <f t="shared" si="26"/>
        <v>0.4318181818181818</v>
      </c>
      <c r="L146" s="129"/>
      <c r="M146" s="2"/>
      <c r="U146" s="161"/>
    </row>
    <row r="147" spans="2:21" ht="15" customHeight="1">
      <c r="B147" s="76"/>
      <c r="C147" s="76"/>
      <c r="D147" s="76"/>
      <c r="E147" s="53"/>
      <c r="F147" s="53"/>
      <c r="G147" s="53"/>
      <c r="H147" s="53"/>
      <c r="I147" s="77"/>
      <c r="L147" s="129"/>
      <c r="M147" s="2"/>
      <c r="U147" s="161"/>
    </row>
    <row r="148" spans="2:21" ht="15" customHeight="1">
      <c r="B148" s="278" t="s">
        <v>142</v>
      </c>
      <c r="C148" s="281"/>
      <c r="D148" s="279"/>
      <c r="E148" s="109">
        <f>E137+E146</f>
        <v>44</v>
      </c>
      <c r="F148" s="112"/>
      <c r="G148" s="112"/>
      <c r="H148" s="28">
        <f>K137+H146</f>
        <v>19</v>
      </c>
      <c r="I148" s="29">
        <f>H148/E148</f>
        <v>0.4318181818181818</v>
      </c>
      <c r="L148" s="129"/>
      <c r="M148" s="2"/>
      <c r="U148" s="161"/>
    </row>
    <row r="149" spans="2:21" ht="15" customHeight="1">
      <c r="B149" s="76"/>
      <c r="C149" s="76"/>
      <c r="D149" s="76"/>
      <c r="E149" s="53"/>
      <c r="F149" s="53"/>
      <c r="G149" s="53"/>
      <c r="H149" s="53"/>
      <c r="I149" s="77"/>
      <c r="L149" s="129"/>
      <c r="M149" s="2"/>
      <c r="U149" s="161"/>
    </row>
    <row r="150" spans="2:21" ht="15" customHeight="1">
      <c r="B150" s="76"/>
      <c r="C150" s="76"/>
      <c r="D150" s="76"/>
      <c r="E150" s="53"/>
      <c r="F150" s="53"/>
      <c r="G150" s="53"/>
      <c r="H150" s="53"/>
      <c r="I150" s="77"/>
      <c r="L150" s="129"/>
      <c r="M150" s="2"/>
      <c r="U150" s="161"/>
    </row>
    <row r="151" spans="2:21" ht="15" customHeight="1" thickBot="1">
      <c r="B151" s="78"/>
      <c r="C151" s="78"/>
      <c r="D151" s="78"/>
      <c r="E151" s="79"/>
      <c r="F151" s="79"/>
      <c r="G151" s="79"/>
      <c r="H151" s="79"/>
      <c r="I151" s="80"/>
      <c r="J151" s="81"/>
      <c r="K151" s="81"/>
      <c r="M151" s="2"/>
      <c r="N151" s="86" t="s">
        <v>82</v>
      </c>
      <c r="O151" s="86" t="s">
        <v>81</v>
      </c>
      <c r="U151" s="161"/>
    </row>
    <row r="152" spans="13:21" ht="15" customHeight="1" thickBot="1">
      <c r="M152" s="2"/>
      <c r="N152" s="85" t="s">
        <v>71</v>
      </c>
      <c r="O152" s="87">
        <v>4</v>
      </c>
      <c r="U152" s="161"/>
    </row>
    <row r="153" spans="2:21" ht="15" customHeight="1" thickBot="1">
      <c r="B153" s="284" t="s">
        <v>49</v>
      </c>
      <c r="C153" s="285"/>
      <c r="D153" s="285"/>
      <c r="E153" s="285"/>
      <c r="F153" s="285"/>
      <c r="G153" s="285"/>
      <c r="H153" s="285"/>
      <c r="I153" s="285"/>
      <c r="J153" s="285"/>
      <c r="K153" s="286"/>
      <c r="M153" s="2"/>
      <c r="N153" s="83" t="s">
        <v>72</v>
      </c>
      <c r="O153" s="88">
        <v>7</v>
      </c>
      <c r="U153" s="161"/>
    </row>
    <row r="154" spans="2:21" ht="15" customHeight="1">
      <c r="B154" s="287" t="s">
        <v>50</v>
      </c>
      <c r="C154" s="288"/>
      <c r="D154" s="58" t="s">
        <v>51</v>
      </c>
      <c r="E154" s="287" t="s">
        <v>52</v>
      </c>
      <c r="F154" s="288"/>
      <c r="G154" s="287" t="s">
        <v>53</v>
      </c>
      <c r="H154" s="289"/>
      <c r="I154" s="288"/>
      <c r="J154" s="287" t="s">
        <v>54</v>
      </c>
      <c r="K154" s="288"/>
      <c r="M154" s="2"/>
      <c r="N154" s="91" t="s">
        <v>238</v>
      </c>
      <c r="O154" s="92">
        <f>SUM(O152:O153)</f>
        <v>11</v>
      </c>
      <c r="U154" s="161"/>
    </row>
    <row r="155" spans="2:21" ht="15" customHeight="1">
      <c r="B155" s="259" t="s">
        <v>185</v>
      </c>
      <c r="C155" s="260"/>
      <c r="D155" s="47" t="s">
        <v>213</v>
      </c>
      <c r="E155" s="259" t="s">
        <v>206</v>
      </c>
      <c r="F155" s="260"/>
      <c r="G155" s="259" t="s">
        <v>211</v>
      </c>
      <c r="H155" s="261"/>
      <c r="I155" s="260"/>
      <c r="J155" s="259" t="s">
        <v>214</v>
      </c>
      <c r="K155" s="260"/>
      <c r="M155" s="2"/>
      <c r="N155" s="84"/>
      <c r="O155" s="89"/>
      <c r="U155" s="161"/>
    </row>
    <row r="156" spans="2:21" ht="15" customHeight="1">
      <c r="B156" s="259" t="s">
        <v>185</v>
      </c>
      <c r="C156" s="260"/>
      <c r="D156" s="47" t="s">
        <v>215</v>
      </c>
      <c r="E156" s="259" t="s">
        <v>216</v>
      </c>
      <c r="F156" s="260"/>
      <c r="G156" s="262" t="s">
        <v>217</v>
      </c>
      <c r="H156" s="261"/>
      <c r="I156" s="260"/>
      <c r="J156" s="259" t="s">
        <v>214</v>
      </c>
      <c r="K156" s="260"/>
      <c r="N156" s="83" t="s">
        <v>73</v>
      </c>
      <c r="O156" s="90">
        <v>4</v>
      </c>
      <c r="U156" s="161"/>
    </row>
    <row r="157" spans="2:21" ht="15" customHeight="1">
      <c r="B157" s="259" t="s">
        <v>185</v>
      </c>
      <c r="C157" s="260"/>
      <c r="D157" s="151" t="s">
        <v>221</v>
      </c>
      <c r="E157" s="259" t="s">
        <v>188</v>
      </c>
      <c r="F157" s="260"/>
      <c r="G157" s="259" t="s">
        <v>222</v>
      </c>
      <c r="H157" s="261"/>
      <c r="I157" s="260"/>
      <c r="J157" s="259" t="s">
        <v>223</v>
      </c>
      <c r="K157" s="260"/>
      <c r="N157" s="83" t="s">
        <v>74</v>
      </c>
      <c r="O157" s="90">
        <v>26</v>
      </c>
      <c r="U157" s="161"/>
    </row>
    <row r="158" spans="2:21" ht="12.75">
      <c r="B158" s="259" t="s">
        <v>248</v>
      </c>
      <c r="C158" s="260"/>
      <c r="D158" s="47" t="s">
        <v>249</v>
      </c>
      <c r="E158" s="259" t="s">
        <v>250</v>
      </c>
      <c r="F158" s="260"/>
      <c r="G158" s="259" t="s">
        <v>251</v>
      </c>
      <c r="H158" s="261"/>
      <c r="I158" s="260"/>
      <c r="J158" s="259" t="s">
        <v>252</v>
      </c>
      <c r="K158" s="260"/>
      <c r="N158" s="83" t="s">
        <v>75</v>
      </c>
      <c r="O158" s="90"/>
      <c r="U158" s="161"/>
    </row>
    <row r="159" spans="2:21" ht="12.75">
      <c r="B159" s="259" t="s">
        <v>244</v>
      </c>
      <c r="C159" s="260"/>
      <c r="D159" s="47" t="s">
        <v>269</v>
      </c>
      <c r="E159" s="259" t="s">
        <v>254</v>
      </c>
      <c r="F159" s="260"/>
      <c r="G159" s="259" t="s">
        <v>270</v>
      </c>
      <c r="H159" s="261"/>
      <c r="I159" s="260"/>
      <c r="J159" s="259" t="s">
        <v>271</v>
      </c>
      <c r="K159" s="260"/>
      <c r="N159" s="83" t="s">
        <v>76</v>
      </c>
      <c r="O159" s="90">
        <v>2</v>
      </c>
      <c r="U159" s="161"/>
    </row>
    <row r="160" spans="2:21" ht="12.75">
      <c r="B160" s="259" t="s">
        <v>248</v>
      </c>
      <c r="C160" s="260"/>
      <c r="D160" s="47" t="s">
        <v>274</v>
      </c>
      <c r="E160" s="259" t="s">
        <v>250</v>
      </c>
      <c r="F160" s="260"/>
      <c r="G160" s="259" t="s">
        <v>270</v>
      </c>
      <c r="H160" s="261"/>
      <c r="I160" s="260"/>
      <c r="J160" s="259" t="s">
        <v>275</v>
      </c>
      <c r="K160" s="260"/>
      <c r="N160" s="83" t="s">
        <v>79</v>
      </c>
      <c r="O160" s="90"/>
      <c r="U160" s="161"/>
    </row>
    <row r="161" spans="2:21" ht="12.75">
      <c r="B161" s="259" t="s">
        <v>288</v>
      </c>
      <c r="C161" s="260"/>
      <c r="D161" s="47" t="s">
        <v>444</v>
      </c>
      <c r="E161" s="259" t="s">
        <v>250</v>
      </c>
      <c r="F161" s="260"/>
      <c r="G161" s="259" t="s">
        <v>445</v>
      </c>
      <c r="H161" s="261"/>
      <c r="I161" s="260"/>
      <c r="J161" s="259" t="s">
        <v>446</v>
      </c>
      <c r="K161" s="260"/>
      <c r="N161" s="83" t="s">
        <v>77</v>
      </c>
      <c r="O161" s="90">
        <v>4</v>
      </c>
      <c r="U161" s="161"/>
    </row>
    <row r="162" spans="2:21" ht="12.75">
      <c r="B162" s="259" t="s">
        <v>244</v>
      </c>
      <c r="C162" s="260"/>
      <c r="D162" s="47" t="s">
        <v>458</v>
      </c>
      <c r="E162" s="259" t="s">
        <v>254</v>
      </c>
      <c r="F162" s="260"/>
      <c r="G162" s="259" t="s">
        <v>459</v>
      </c>
      <c r="H162" s="261"/>
      <c r="I162" s="260"/>
      <c r="J162" s="259" t="s">
        <v>460</v>
      </c>
      <c r="K162" s="260"/>
      <c r="N162" s="83" t="s">
        <v>78</v>
      </c>
      <c r="O162" s="90"/>
      <c r="U162" s="161"/>
    </row>
    <row r="163" spans="2:21" ht="12.75">
      <c r="B163" s="259" t="s">
        <v>244</v>
      </c>
      <c r="C163" s="260"/>
      <c r="D163" s="151" t="s">
        <v>511</v>
      </c>
      <c r="E163" s="259" t="s">
        <v>254</v>
      </c>
      <c r="F163" s="260"/>
      <c r="G163" s="262" t="s">
        <v>512</v>
      </c>
      <c r="H163" s="261"/>
      <c r="I163" s="260"/>
      <c r="J163" s="259" t="s">
        <v>513</v>
      </c>
      <c r="K163" s="260"/>
      <c r="N163" s="84"/>
      <c r="O163" s="89"/>
      <c r="U163" s="161"/>
    </row>
    <row r="164" spans="2:21" ht="15" customHeight="1">
      <c r="B164" s="259" t="s">
        <v>244</v>
      </c>
      <c r="C164" s="260"/>
      <c r="D164" s="47" t="s">
        <v>514</v>
      </c>
      <c r="E164" s="259" t="s">
        <v>254</v>
      </c>
      <c r="F164" s="260"/>
      <c r="G164" s="259" t="s">
        <v>515</v>
      </c>
      <c r="H164" s="261"/>
      <c r="I164" s="260"/>
      <c r="J164" s="259" t="s">
        <v>513</v>
      </c>
      <c r="K164" s="260"/>
      <c r="N164" s="93" t="s">
        <v>80</v>
      </c>
      <c r="O164" s="94">
        <f>SUM(O154:O162)</f>
        <v>47</v>
      </c>
      <c r="U164" s="161"/>
    </row>
    <row r="165" spans="2:21" ht="12.75">
      <c r="B165" s="259" t="s">
        <v>288</v>
      </c>
      <c r="C165" s="260"/>
      <c r="D165" s="47" t="s">
        <v>551</v>
      </c>
      <c r="E165" s="259" t="s">
        <v>250</v>
      </c>
      <c r="F165" s="260"/>
      <c r="G165" s="259" t="s">
        <v>552</v>
      </c>
      <c r="H165" s="261"/>
      <c r="I165" s="260"/>
      <c r="J165" s="259" t="s">
        <v>553</v>
      </c>
      <c r="K165" s="260"/>
      <c r="U165" s="161"/>
    </row>
    <row r="166" spans="2:21" ht="12.75">
      <c r="B166" s="259" t="s">
        <v>234</v>
      </c>
      <c r="C166" s="260"/>
      <c r="D166" s="47" t="s">
        <v>556</v>
      </c>
      <c r="E166" s="259" t="s">
        <v>250</v>
      </c>
      <c r="F166" s="260"/>
      <c r="G166" s="259" t="s">
        <v>557</v>
      </c>
      <c r="H166" s="261"/>
      <c r="I166" s="260"/>
      <c r="J166" s="259" t="s">
        <v>558</v>
      </c>
      <c r="K166" s="260"/>
      <c r="U166" s="161"/>
    </row>
    <row r="167" spans="2:21" ht="12.75">
      <c r="B167" s="259" t="s">
        <v>308</v>
      </c>
      <c r="C167" s="260"/>
      <c r="D167" s="47" t="s">
        <v>622</v>
      </c>
      <c r="E167" s="259" t="s">
        <v>250</v>
      </c>
      <c r="F167" s="260"/>
      <c r="G167" s="259" t="s">
        <v>623</v>
      </c>
      <c r="H167" s="261"/>
      <c r="I167" s="260"/>
      <c r="J167" s="259" t="s">
        <v>624</v>
      </c>
      <c r="K167" s="260"/>
      <c r="U167" s="161"/>
    </row>
    <row r="168" spans="2:21" ht="12.75">
      <c r="B168" s="259" t="s">
        <v>288</v>
      </c>
      <c r="C168" s="260"/>
      <c r="D168" s="47" t="s">
        <v>372</v>
      </c>
      <c r="E168" s="259" t="s">
        <v>250</v>
      </c>
      <c r="F168" s="260"/>
      <c r="G168" s="259" t="s">
        <v>657</v>
      </c>
      <c r="H168" s="261"/>
      <c r="I168" s="260"/>
      <c r="J168" s="259" t="s">
        <v>658</v>
      </c>
      <c r="K168" s="260"/>
      <c r="U168" s="161"/>
    </row>
    <row r="169" spans="2:21" ht="12.75">
      <c r="B169" s="259" t="s">
        <v>244</v>
      </c>
      <c r="C169" s="260"/>
      <c r="D169" s="47" t="s">
        <v>666</v>
      </c>
      <c r="E169" s="259" t="s">
        <v>254</v>
      </c>
      <c r="F169" s="260"/>
      <c r="G169" s="259" t="s">
        <v>667</v>
      </c>
      <c r="H169" s="261"/>
      <c r="I169" s="260"/>
      <c r="J169" s="259" t="s">
        <v>668</v>
      </c>
      <c r="K169" s="260"/>
      <c r="U169" s="161"/>
    </row>
    <row r="170" spans="2:21" ht="12.75">
      <c r="B170" s="259" t="s">
        <v>234</v>
      </c>
      <c r="C170" s="260"/>
      <c r="D170" s="47" t="s">
        <v>677</v>
      </c>
      <c r="E170" s="259" t="s">
        <v>250</v>
      </c>
      <c r="F170" s="260"/>
      <c r="G170" s="259" t="s">
        <v>667</v>
      </c>
      <c r="H170" s="261"/>
      <c r="I170" s="260"/>
      <c r="J170" s="259" t="s">
        <v>678</v>
      </c>
      <c r="K170" s="260"/>
      <c r="U170" s="161"/>
    </row>
    <row r="171" spans="2:21" ht="12.75">
      <c r="B171" s="259" t="s">
        <v>248</v>
      </c>
      <c r="C171" s="260"/>
      <c r="D171" s="47" t="s">
        <v>679</v>
      </c>
      <c r="E171" s="259" t="s">
        <v>250</v>
      </c>
      <c r="F171" s="260"/>
      <c r="G171" s="259" t="s">
        <v>680</v>
      </c>
      <c r="H171" s="261"/>
      <c r="I171" s="260"/>
      <c r="J171" s="259" t="s">
        <v>681</v>
      </c>
      <c r="K171" s="260"/>
      <c r="U171" s="161"/>
    </row>
    <row r="172" spans="2:21" ht="12.75">
      <c r="B172" s="259" t="s">
        <v>234</v>
      </c>
      <c r="C172" s="260"/>
      <c r="D172" s="47" t="s">
        <v>682</v>
      </c>
      <c r="E172" s="259" t="s">
        <v>250</v>
      </c>
      <c r="F172" s="260"/>
      <c r="G172" s="259" t="s">
        <v>683</v>
      </c>
      <c r="H172" s="261"/>
      <c r="I172" s="260"/>
      <c r="J172" s="259" t="s">
        <v>684</v>
      </c>
      <c r="K172" s="260"/>
      <c r="L172" s="127"/>
      <c r="U172" s="161"/>
    </row>
    <row r="173" spans="2:21" ht="12.75">
      <c r="B173" s="259" t="s">
        <v>308</v>
      </c>
      <c r="C173" s="260"/>
      <c r="D173" s="47" t="s">
        <v>675</v>
      </c>
      <c r="E173" s="259" t="s">
        <v>250</v>
      </c>
      <c r="F173" s="260"/>
      <c r="G173" s="259" t="s">
        <v>707</v>
      </c>
      <c r="H173" s="261"/>
      <c r="I173" s="260"/>
      <c r="J173" s="259" t="s">
        <v>708</v>
      </c>
      <c r="K173" s="260"/>
      <c r="L173" s="127"/>
      <c r="U173" s="161"/>
    </row>
    <row r="174" spans="2:21" ht="12.75">
      <c r="B174" s="259" t="s">
        <v>244</v>
      </c>
      <c r="C174" s="260"/>
      <c r="D174" s="47" t="s">
        <v>724</v>
      </c>
      <c r="E174" s="259" t="s">
        <v>250</v>
      </c>
      <c r="F174" s="260"/>
      <c r="G174" s="259" t="s">
        <v>725</v>
      </c>
      <c r="H174" s="261"/>
      <c r="I174" s="260"/>
      <c r="J174" s="259" t="s">
        <v>726</v>
      </c>
      <c r="K174" s="260"/>
      <c r="L174" s="127"/>
      <c r="U174" s="161"/>
    </row>
    <row r="175" spans="2:21" ht="12.75">
      <c r="B175" s="259" t="s">
        <v>234</v>
      </c>
      <c r="C175" s="260"/>
      <c r="D175" s="47" t="s">
        <v>657</v>
      </c>
      <c r="E175" s="259" t="s">
        <v>250</v>
      </c>
      <c r="F175" s="260"/>
      <c r="G175" s="259" t="s">
        <v>767</v>
      </c>
      <c r="H175" s="261"/>
      <c r="I175" s="260"/>
      <c r="J175" s="259" t="s">
        <v>768</v>
      </c>
      <c r="K175" s="260"/>
      <c r="L175" s="127"/>
      <c r="U175" s="161"/>
    </row>
    <row r="176" spans="2:21" ht="12.75">
      <c r="B176" s="259" t="s">
        <v>234</v>
      </c>
      <c r="C176" s="260"/>
      <c r="D176" s="47" t="s">
        <v>556</v>
      </c>
      <c r="E176" s="259" t="s">
        <v>250</v>
      </c>
      <c r="F176" s="260"/>
      <c r="G176" s="259" t="s">
        <v>769</v>
      </c>
      <c r="H176" s="261"/>
      <c r="I176" s="260"/>
      <c r="J176" s="259" t="s">
        <v>770</v>
      </c>
      <c r="K176" s="260"/>
      <c r="L176" s="127"/>
      <c r="U176" s="161"/>
    </row>
    <row r="177" spans="2:21" ht="12.75">
      <c r="B177" s="259" t="s">
        <v>234</v>
      </c>
      <c r="C177" s="260"/>
      <c r="D177" s="47" t="s">
        <v>767</v>
      </c>
      <c r="E177" s="259" t="s">
        <v>250</v>
      </c>
      <c r="F177" s="260"/>
      <c r="G177" s="259" t="s">
        <v>777</v>
      </c>
      <c r="H177" s="261"/>
      <c r="I177" s="260"/>
      <c r="J177" s="259" t="s">
        <v>778</v>
      </c>
      <c r="K177" s="260"/>
      <c r="U177" s="161"/>
    </row>
    <row r="178" spans="2:21" ht="12.75">
      <c r="B178" s="259" t="s">
        <v>234</v>
      </c>
      <c r="C178" s="260"/>
      <c r="D178" s="47" t="s">
        <v>784</v>
      </c>
      <c r="E178" s="259" t="s">
        <v>250</v>
      </c>
      <c r="F178" s="260"/>
      <c r="G178" s="259" t="s">
        <v>515</v>
      </c>
      <c r="H178" s="261"/>
      <c r="I178" s="260"/>
      <c r="J178" s="259" t="s">
        <v>785</v>
      </c>
      <c r="K178" s="260"/>
      <c r="U178" s="161"/>
    </row>
    <row r="179" spans="2:21" ht="12.75">
      <c r="B179" s="259" t="s">
        <v>308</v>
      </c>
      <c r="C179" s="260"/>
      <c r="D179" s="47" t="s">
        <v>813</v>
      </c>
      <c r="E179" s="259" t="s">
        <v>250</v>
      </c>
      <c r="F179" s="260"/>
      <c r="G179" s="259" t="s">
        <v>814</v>
      </c>
      <c r="H179" s="261"/>
      <c r="I179" s="260"/>
      <c r="J179" s="259" t="s">
        <v>815</v>
      </c>
      <c r="K179" s="260"/>
      <c r="U179" s="161"/>
    </row>
    <row r="180" spans="2:21" ht="12.75">
      <c r="B180" s="259" t="s">
        <v>234</v>
      </c>
      <c r="C180" s="260"/>
      <c r="D180" s="47" t="s">
        <v>557</v>
      </c>
      <c r="E180" s="259" t="s">
        <v>250</v>
      </c>
      <c r="F180" s="260"/>
      <c r="G180" s="259" t="s">
        <v>769</v>
      </c>
      <c r="H180" s="261"/>
      <c r="I180" s="260"/>
      <c r="J180" s="259" t="s">
        <v>816</v>
      </c>
      <c r="K180" s="260"/>
      <c r="U180" s="161"/>
    </row>
    <row r="181" spans="2:21" ht="12.75">
      <c r="B181" s="259" t="s">
        <v>308</v>
      </c>
      <c r="C181" s="260"/>
      <c r="D181" s="47" t="s">
        <v>515</v>
      </c>
      <c r="E181" s="259" t="s">
        <v>250</v>
      </c>
      <c r="F181" s="260"/>
      <c r="G181" s="259" t="s">
        <v>784</v>
      </c>
      <c r="H181" s="261"/>
      <c r="I181" s="260"/>
      <c r="J181" s="259" t="s">
        <v>819</v>
      </c>
      <c r="K181" s="260"/>
      <c r="U181" s="161"/>
    </row>
    <row r="182" spans="2:21" ht="12.75">
      <c r="B182" s="259" t="s">
        <v>234</v>
      </c>
      <c r="C182" s="260"/>
      <c r="D182" s="47" t="s">
        <v>891</v>
      </c>
      <c r="E182" s="259" t="s">
        <v>250</v>
      </c>
      <c r="F182" s="260"/>
      <c r="G182" s="259" t="s">
        <v>892</v>
      </c>
      <c r="H182" s="261"/>
      <c r="I182" s="260"/>
      <c r="J182" s="259" t="s">
        <v>893</v>
      </c>
      <c r="K182" s="260"/>
      <c r="U182" s="161"/>
    </row>
    <row r="183" spans="2:11" ht="12.75">
      <c r="B183" s="259" t="s">
        <v>234</v>
      </c>
      <c r="C183" s="260"/>
      <c r="D183" s="47" t="s">
        <v>971</v>
      </c>
      <c r="E183" s="259" t="s">
        <v>250</v>
      </c>
      <c r="F183" s="260"/>
      <c r="G183" s="259" t="s">
        <v>677</v>
      </c>
      <c r="H183" s="261"/>
      <c r="I183" s="260"/>
      <c r="J183" s="259" t="s">
        <v>972</v>
      </c>
      <c r="K183" s="260"/>
    </row>
    <row r="184" spans="2:11" ht="12.75">
      <c r="B184" s="259" t="s">
        <v>308</v>
      </c>
      <c r="C184" s="260"/>
      <c r="D184" s="47" t="s">
        <v>515</v>
      </c>
      <c r="E184" s="259" t="s">
        <v>250</v>
      </c>
      <c r="F184" s="260"/>
      <c r="G184" s="259" t="s">
        <v>784</v>
      </c>
      <c r="H184" s="261"/>
      <c r="I184" s="260"/>
      <c r="J184" s="259" t="s">
        <v>973</v>
      </c>
      <c r="K184" s="260"/>
    </row>
    <row r="185" spans="2:11" ht="12.75">
      <c r="B185" s="259" t="s">
        <v>288</v>
      </c>
      <c r="C185" s="260"/>
      <c r="D185" s="47" t="s">
        <v>999</v>
      </c>
      <c r="E185" s="259" t="s">
        <v>250</v>
      </c>
      <c r="F185" s="260"/>
      <c r="G185" s="259" t="s">
        <v>1000</v>
      </c>
      <c r="H185" s="261"/>
      <c r="I185" s="260"/>
      <c r="J185" s="259" t="s">
        <v>1001</v>
      </c>
      <c r="K185" s="260"/>
    </row>
    <row r="186" spans="2:11" ht="12.75">
      <c r="B186" s="259" t="s">
        <v>244</v>
      </c>
      <c r="C186" s="260"/>
      <c r="D186" s="47" t="s">
        <v>1005</v>
      </c>
      <c r="E186" s="259" t="s">
        <v>250</v>
      </c>
      <c r="F186" s="260"/>
      <c r="G186" s="259" t="s">
        <v>1006</v>
      </c>
      <c r="H186" s="261"/>
      <c r="I186" s="260"/>
      <c r="J186" s="259" t="s">
        <v>1007</v>
      </c>
      <c r="K186" s="260"/>
    </row>
    <row r="187" spans="2:11" ht="12.75">
      <c r="B187" s="259" t="s">
        <v>308</v>
      </c>
      <c r="C187" s="260"/>
      <c r="D187" s="47" t="s">
        <v>769</v>
      </c>
      <c r="E187" s="259" t="s">
        <v>250</v>
      </c>
      <c r="F187" s="260"/>
      <c r="G187" s="259" t="s">
        <v>557</v>
      </c>
      <c r="H187" s="261"/>
      <c r="I187" s="260"/>
      <c r="J187" s="259" t="s">
        <v>1008</v>
      </c>
      <c r="K187" s="260"/>
    </row>
    <row r="188" spans="2:11" ht="41.25" customHeight="1">
      <c r="B188" s="259" t="s">
        <v>248</v>
      </c>
      <c r="C188" s="260"/>
      <c r="D188" s="47" t="s">
        <v>680</v>
      </c>
      <c r="E188" s="259" t="s">
        <v>250</v>
      </c>
      <c r="F188" s="260"/>
      <c r="G188" s="259" t="s">
        <v>249</v>
      </c>
      <c r="H188" s="261"/>
      <c r="I188" s="260"/>
      <c r="J188" s="259" t="s">
        <v>1008</v>
      </c>
      <c r="K188" s="260"/>
    </row>
    <row r="189" spans="2:11" ht="38.25">
      <c r="B189" s="259" t="s">
        <v>185</v>
      </c>
      <c r="C189" s="260"/>
      <c r="D189" s="151" t="s">
        <v>1069</v>
      </c>
      <c r="E189" s="259" t="s">
        <v>216</v>
      </c>
      <c r="F189" s="260"/>
      <c r="G189" s="262" t="s">
        <v>1068</v>
      </c>
      <c r="H189" s="261"/>
      <c r="I189" s="260"/>
      <c r="J189" s="259" t="s">
        <v>1070</v>
      </c>
      <c r="K189" s="260"/>
    </row>
    <row r="190" spans="2:11" ht="12.75">
      <c r="B190" s="262" t="s">
        <v>1071</v>
      </c>
      <c r="C190" s="261"/>
      <c r="D190" s="261"/>
      <c r="E190" s="261"/>
      <c r="F190" s="261"/>
      <c r="G190" s="261"/>
      <c r="H190" s="261"/>
      <c r="I190" s="260"/>
      <c r="J190" s="259" t="s">
        <v>1070</v>
      </c>
      <c r="K190" s="316"/>
    </row>
    <row r="191" spans="2:11" ht="12.75">
      <c r="B191" s="259" t="s">
        <v>897</v>
      </c>
      <c r="C191" s="260"/>
      <c r="D191" s="47" t="s">
        <v>999</v>
      </c>
      <c r="E191" s="259" t="s">
        <v>250</v>
      </c>
      <c r="F191" s="260"/>
      <c r="G191" s="259" t="s">
        <v>1072</v>
      </c>
      <c r="H191" s="261"/>
      <c r="I191" s="260"/>
      <c r="J191" s="259" t="s">
        <v>1073</v>
      </c>
      <c r="K191" s="260"/>
    </row>
    <row r="192" spans="2:11" ht="12.75">
      <c r="B192" s="259" t="s">
        <v>234</v>
      </c>
      <c r="C192" s="260"/>
      <c r="D192" s="47" t="s">
        <v>1100</v>
      </c>
      <c r="E192" s="259" t="s">
        <v>250</v>
      </c>
      <c r="F192" s="260"/>
      <c r="G192" s="259" t="s">
        <v>1101</v>
      </c>
      <c r="H192" s="261"/>
      <c r="I192" s="260"/>
      <c r="J192" s="259" t="s">
        <v>1102</v>
      </c>
      <c r="K192" s="260"/>
    </row>
    <row r="193" spans="2:11" ht="12.75">
      <c r="B193" s="259" t="s">
        <v>1103</v>
      </c>
      <c r="C193" s="260"/>
      <c r="D193" s="47" t="s">
        <v>1072</v>
      </c>
      <c r="E193" s="259" t="s">
        <v>250</v>
      </c>
      <c r="F193" s="260"/>
      <c r="G193" s="259" t="s">
        <v>999</v>
      </c>
      <c r="H193" s="261"/>
      <c r="I193" s="260"/>
      <c r="J193" s="259" t="s">
        <v>1102</v>
      </c>
      <c r="K193" s="260"/>
    </row>
    <row r="194" spans="2:11" ht="12.75">
      <c r="B194" s="259" t="s">
        <v>234</v>
      </c>
      <c r="C194" s="260"/>
      <c r="D194" s="47" t="s">
        <v>459</v>
      </c>
      <c r="E194" s="259" t="s">
        <v>250</v>
      </c>
      <c r="F194" s="260"/>
      <c r="G194" s="259" t="s">
        <v>249</v>
      </c>
      <c r="H194" s="261"/>
      <c r="I194" s="260"/>
      <c r="J194" s="259" t="s">
        <v>1112</v>
      </c>
      <c r="K194" s="260"/>
    </row>
    <row r="195" spans="2:11" ht="12.75">
      <c r="B195" s="259" t="s">
        <v>234</v>
      </c>
      <c r="C195" s="260"/>
      <c r="D195" s="47" t="s">
        <v>657</v>
      </c>
      <c r="E195" s="259" t="s">
        <v>250</v>
      </c>
      <c r="F195" s="260"/>
      <c r="G195" s="259" t="s">
        <v>725</v>
      </c>
      <c r="H195" s="261"/>
      <c r="I195" s="260"/>
      <c r="J195" s="259" t="s">
        <v>1122</v>
      </c>
      <c r="K195" s="260"/>
    </row>
    <row r="196" spans="2:11" ht="12.75">
      <c r="B196" s="259" t="s">
        <v>308</v>
      </c>
      <c r="C196" s="260"/>
      <c r="D196" s="47" t="s">
        <v>557</v>
      </c>
      <c r="E196" s="259" t="s">
        <v>250</v>
      </c>
      <c r="F196" s="260"/>
      <c r="G196" s="259" t="s">
        <v>1128</v>
      </c>
      <c r="H196" s="261"/>
      <c r="I196" s="260"/>
      <c r="J196" s="259" t="s">
        <v>1129</v>
      </c>
      <c r="K196" s="260"/>
    </row>
    <row r="197" spans="2:11" ht="12.75">
      <c r="B197" s="259" t="s">
        <v>234</v>
      </c>
      <c r="C197" s="260"/>
      <c r="D197" s="47" t="s">
        <v>653</v>
      </c>
      <c r="E197" s="259" t="s">
        <v>250</v>
      </c>
      <c r="F197" s="260"/>
      <c r="G197" s="259" t="s">
        <v>767</v>
      </c>
      <c r="H197" s="261"/>
      <c r="I197" s="260"/>
      <c r="J197" s="259" t="s">
        <v>1138</v>
      </c>
      <c r="K197" s="260"/>
    </row>
    <row r="198" spans="2:11" ht="12.75">
      <c r="B198" s="259" t="s">
        <v>308</v>
      </c>
      <c r="C198" s="260"/>
      <c r="D198" s="47" t="s">
        <v>445</v>
      </c>
      <c r="E198" s="259" t="s">
        <v>250</v>
      </c>
      <c r="F198" s="260"/>
      <c r="G198" s="259" t="s">
        <v>657</v>
      </c>
      <c r="H198" s="261"/>
      <c r="I198" s="260"/>
      <c r="J198" s="259" t="s">
        <v>1139</v>
      </c>
      <c r="K198" s="260"/>
    </row>
    <row r="199" spans="2:11" ht="12.75">
      <c r="B199" s="259" t="s">
        <v>308</v>
      </c>
      <c r="C199" s="260"/>
      <c r="D199" s="47" t="s">
        <v>767</v>
      </c>
      <c r="E199" s="259" t="s">
        <v>250</v>
      </c>
      <c r="F199" s="260"/>
      <c r="G199" s="259" t="s">
        <v>682</v>
      </c>
      <c r="H199" s="261"/>
      <c r="I199" s="260"/>
      <c r="J199" s="259" t="s">
        <v>1158</v>
      </c>
      <c r="K199" s="260"/>
    </row>
    <row r="200" spans="2:11" ht="12.75">
      <c r="B200" s="259" t="s">
        <v>234</v>
      </c>
      <c r="C200" s="260"/>
      <c r="D200" s="47" t="s">
        <v>657</v>
      </c>
      <c r="E200" s="259" t="s">
        <v>250</v>
      </c>
      <c r="F200" s="260"/>
      <c r="G200" s="259" t="s">
        <v>444</v>
      </c>
      <c r="H200" s="261"/>
      <c r="I200" s="260"/>
      <c r="J200" s="259" t="s">
        <v>1158</v>
      </c>
      <c r="K200" s="260"/>
    </row>
    <row r="201" spans="2:11" ht="12.75">
      <c r="B201" s="259"/>
      <c r="C201" s="260"/>
      <c r="D201" s="47"/>
      <c r="E201" s="259"/>
      <c r="F201" s="260"/>
      <c r="G201" s="259"/>
      <c r="H201" s="261"/>
      <c r="I201" s="260"/>
      <c r="J201" s="259"/>
      <c r="K201" s="260"/>
    </row>
  </sheetData>
  <mergeCells count="253">
    <mergeCell ref="B168:C168"/>
    <mergeCell ref="E168:F168"/>
    <mergeCell ref="G168:I168"/>
    <mergeCell ref="J168:K168"/>
    <mergeCell ref="B195:C195"/>
    <mergeCell ref="E195:F195"/>
    <mergeCell ref="G195:I195"/>
    <mergeCell ref="J195:K195"/>
    <mergeCell ref="B196:C196"/>
    <mergeCell ref="E196:F196"/>
    <mergeCell ref="G196:I196"/>
    <mergeCell ref="J196:K196"/>
    <mergeCell ref="E194:F194"/>
    <mergeCell ref="G194:I194"/>
    <mergeCell ref="J194:K194"/>
    <mergeCell ref="B193:C193"/>
    <mergeCell ref="E193:F193"/>
    <mergeCell ref="G193:I193"/>
    <mergeCell ref="J193:K193"/>
    <mergeCell ref="B194:C194"/>
    <mergeCell ref="B192:C192"/>
    <mergeCell ref="E192:F192"/>
    <mergeCell ref="G192:I192"/>
    <mergeCell ref="J192:K192"/>
    <mergeCell ref="J190:K190"/>
    <mergeCell ref="B190:I190"/>
    <mergeCell ref="B191:C191"/>
    <mergeCell ref="E191:F191"/>
    <mergeCell ref="G191:I191"/>
    <mergeCell ref="J191:K191"/>
    <mergeCell ref="B189:C189"/>
    <mergeCell ref="E189:F189"/>
    <mergeCell ref="G189:I189"/>
    <mergeCell ref="J189:K189"/>
    <mergeCell ref="B188:C188"/>
    <mergeCell ref="E188:F188"/>
    <mergeCell ref="G188:I188"/>
    <mergeCell ref="J188:K188"/>
    <mergeCell ref="B187:C187"/>
    <mergeCell ref="E187:F187"/>
    <mergeCell ref="G187:I187"/>
    <mergeCell ref="J187:K187"/>
    <mergeCell ref="B185:C185"/>
    <mergeCell ref="J185:K185"/>
    <mergeCell ref="B186:C186"/>
    <mergeCell ref="E186:F186"/>
    <mergeCell ref="G186:I186"/>
    <mergeCell ref="J186:K186"/>
    <mergeCell ref="E185:F185"/>
    <mergeCell ref="G185:I185"/>
    <mergeCell ref="B184:C184"/>
    <mergeCell ref="E184:F184"/>
    <mergeCell ref="G184:I184"/>
    <mergeCell ref="J184:K184"/>
    <mergeCell ref="B183:C183"/>
    <mergeCell ref="E183:F183"/>
    <mergeCell ref="G183:I183"/>
    <mergeCell ref="J183:K183"/>
    <mergeCell ref="B182:C182"/>
    <mergeCell ref="E182:F182"/>
    <mergeCell ref="G182:I182"/>
    <mergeCell ref="J182:K182"/>
    <mergeCell ref="B181:C181"/>
    <mergeCell ref="E181:F181"/>
    <mergeCell ref="G181:I181"/>
    <mergeCell ref="J181:K181"/>
    <mergeCell ref="B180:C180"/>
    <mergeCell ref="E180:F180"/>
    <mergeCell ref="G180:I180"/>
    <mergeCell ref="J180:K180"/>
    <mergeCell ref="B179:C179"/>
    <mergeCell ref="E179:F179"/>
    <mergeCell ref="G179:I179"/>
    <mergeCell ref="J179:K179"/>
    <mergeCell ref="B178:C178"/>
    <mergeCell ref="E178:F178"/>
    <mergeCell ref="G178:I178"/>
    <mergeCell ref="J178:K178"/>
    <mergeCell ref="B177:C177"/>
    <mergeCell ref="E177:F177"/>
    <mergeCell ref="G177:I177"/>
    <mergeCell ref="J177:K177"/>
    <mergeCell ref="B176:C176"/>
    <mergeCell ref="E176:F176"/>
    <mergeCell ref="G176:I176"/>
    <mergeCell ref="J176:K176"/>
    <mergeCell ref="B175:C175"/>
    <mergeCell ref="E175:F175"/>
    <mergeCell ref="G175:I175"/>
    <mergeCell ref="J175:K175"/>
    <mergeCell ref="B174:C174"/>
    <mergeCell ref="E174:F174"/>
    <mergeCell ref="G174:I174"/>
    <mergeCell ref="J174:K174"/>
    <mergeCell ref="B172:C172"/>
    <mergeCell ref="J172:K172"/>
    <mergeCell ref="B173:C173"/>
    <mergeCell ref="E173:F173"/>
    <mergeCell ref="G173:I173"/>
    <mergeCell ref="J173:K173"/>
    <mergeCell ref="E172:F172"/>
    <mergeCell ref="G172:I172"/>
    <mergeCell ref="B171:C171"/>
    <mergeCell ref="E171:F171"/>
    <mergeCell ref="G171:I171"/>
    <mergeCell ref="J171:K171"/>
    <mergeCell ref="B170:C170"/>
    <mergeCell ref="E170:F170"/>
    <mergeCell ref="G170:I170"/>
    <mergeCell ref="J170:K170"/>
    <mergeCell ref="B169:C169"/>
    <mergeCell ref="E169:F169"/>
    <mergeCell ref="G169:I169"/>
    <mergeCell ref="J169:K169"/>
    <mergeCell ref="B167:C167"/>
    <mergeCell ref="E167:F167"/>
    <mergeCell ref="G167:I167"/>
    <mergeCell ref="J167:K167"/>
    <mergeCell ref="B166:C166"/>
    <mergeCell ref="E166:F166"/>
    <mergeCell ref="G166:I166"/>
    <mergeCell ref="J166:K166"/>
    <mergeCell ref="B165:C165"/>
    <mergeCell ref="E165:F165"/>
    <mergeCell ref="G165:I165"/>
    <mergeCell ref="J165:K165"/>
    <mergeCell ref="B164:C164"/>
    <mergeCell ref="E164:F164"/>
    <mergeCell ref="G164:I164"/>
    <mergeCell ref="J164:K164"/>
    <mergeCell ref="B163:C163"/>
    <mergeCell ref="E163:F163"/>
    <mergeCell ref="G163:I163"/>
    <mergeCell ref="J163:K163"/>
    <mergeCell ref="B162:C162"/>
    <mergeCell ref="E162:F162"/>
    <mergeCell ref="G162:I162"/>
    <mergeCell ref="J162:K162"/>
    <mergeCell ref="B161:C161"/>
    <mergeCell ref="E161:F161"/>
    <mergeCell ref="G161:I161"/>
    <mergeCell ref="J161:K161"/>
    <mergeCell ref="B160:C160"/>
    <mergeCell ref="E160:F160"/>
    <mergeCell ref="G160:I160"/>
    <mergeCell ref="J160:K160"/>
    <mergeCell ref="B159:C159"/>
    <mergeCell ref="E159:F159"/>
    <mergeCell ref="G159:I159"/>
    <mergeCell ref="J159:K159"/>
    <mergeCell ref="B158:C158"/>
    <mergeCell ref="E158:F158"/>
    <mergeCell ref="G158:I158"/>
    <mergeCell ref="J158:K158"/>
    <mergeCell ref="B157:C157"/>
    <mergeCell ref="E157:F157"/>
    <mergeCell ref="G157:I157"/>
    <mergeCell ref="J157:K157"/>
    <mergeCell ref="B156:C156"/>
    <mergeCell ref="E156:F156"/>
    <mergeCell ref="G156:I156"/>
    <mergeCell ref="J156:K156"/>
    <mergeCell ref="B155:C155"/>
    <mergeCell ref="E155:F155"/>
    <mergeCell ref="G155:I155"/>
    <mergeCell ref="J155:K155"/>
    <mergeCell ref="B154:C154"/>
    <mergeCell ref="E154:F154"/>
    <mergeCell ref="G154:I154"/>
    <mergeCell ref="J154:K154"/>
    <mergeCell ref="B69:D69"/>
    <mergeCell ref="B153:K153"/>
    <mergeCell ref="B78:D78"/>
    <mergeCell ref="B133:K133"/>
    <mergeCell ref="B137:D137"/>
    <mergeCell ref="B138:I138"/>
    <mergeCell ref="B90:K90"/>
    <mergeCell ref="B131:D131"/>
    <mergeCell ref="B112:D112"/>
    <mergeCell ref="B97:D97"/>
    <mergeCell ref="N30:R30"/>
    <mergeCell ref="B41:I41"/>
    <mergeCell ref="B148:D148"/>
    <mergeCell ref="B146:D146"/>
    <mergeCell ref="B114:I114"/>
    <mergeCell ref="B65:K65"/>
    <mergeCell ref="C85:D85"/>
    <mergeCell ref="C88:D88"/>
    <mergeCell ref="C87:D87"/>
    <mergeCell ref="B80:D80"/>
    <mergeCell ref="N10:R10"/>
    <mergeCell ref="C12:D12"/>
    <mergeCell ref="B14:K14"/>
    <mergeCell ref="B21:D21"/>
    <mergeCell ref="C10:D10"/>
    <mergeCell ref="C11:D11"/>
    <mergeCell ref="N20:R20"/>
    <mergeCell ref="B6:K6"/>
    <mergeCell ref="C9:D9"/>
    <mergeCell ref="B23:I23"/>
    <mergeCell ref="B49:D49"/>
    <mergeCell ref="B39:D39"/>
    <mergeCell ref="B99:I99"/>
    <mergeCell ref="B121:D121"/>
    <mergeCell ref="B123:I123"/>
    <mergeCell ref="B70:I70"/>
    <mergeCell ref="B82:K82"/>
    <mergeCell ref="C84:D84"/>
    <mergeCell ref="C86:D86"/>
    <mergeCell ref="B197:C197"/>
    <mergeCell ref="E197:F197"/>
    <mergeCell ref="G197:I197"/>
    <mergeCell ref="J197:K197"/>
    <mergeCell ref="B198:C198"/>
    <mergeCell ref="E198:F198"/>
    <mergeCell ref="G198:I198"/>
    <mergeCell ref="J198:K198"/>
    <mergeCell ref="B199:C199"/>
    <mergeCell ref="E199:F199"/>
    <mergeCell ref="G199:I199"/>
    <mergeCell ref="J199:K199"/>
    <mergeCell ref="B200:C200"/>
    <mergeCell ref="E200:F200"/>
    <mergeCell ref="G200:I200"/>
    <mergeCell ref="J200:K200"/>
    <mergeCell ref="B201:C201"/>
    <mergeCell ref="E201:F201"/>
    <mergeCell ref="G201:I201"/>
    <mergeCell ref="J201:K201"/>
    <mergeCell ref="W10:AB10"/>
    <mergeCell ref="Z11:AA11"/>
    <mergeCell ref="Z30:AA30"/>
    <mergeCell ref="Z31:AA31"/>
    <mergeCell ref="X11:Y11"/>
    <mergeCell ref="X30:Y30"/>
    <mergeCell ref="X31:Y31"/>
    <mergeCell ref="X35:Y35"/>
    <mergeCell ref="W40:AB40"/>
    <mergeCell ref="X34:Y34"/>
    <mergeCell ref="Z35:AA35"/>
    <mergeCell ref="X32:Y32"/>
    <mergeCell ref="Z32:AA32"/>
    <mergeCell ref="Z33:AA33"/>
    <mergeCell ref="Z34:AA34"/>
    <mergeCell ref="X33:Y33"/>
    <mergeCell ref="N43:S43"/>
    <mergeCell ref="B63:D63"/>
    <mergeCell ref="AA57:AC57"/>
    <mergeCell ref="W55:AC55"/>
    <mergeCell ref="B51:I51"/>
    <mergeCell ref="AB59:AC59"/>
    <mergeCell ref="AB60:AC60"/>
    <mergeCell ref="W57:Y57"/>
  </mergeCells>
  <printOptions/>
  <pageMargins left="0.75" right="0.75" top="1" bottom="1" header="0.4921259845" footer="0.4921259845"/>
  <pageSetup orientation="portrait" paperSize="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30"/>
  <sheetViews>
    <sheetView workbookViewId="0" topLeftCell="A1">
      <selection activeCell="B226" sqref="B226:C226"/>
    </sheetView>
  </sheetViews>
  <sheetFormatPr defaultColWidth="11.421875" defaultRowHeight="12.75"/>
  <cols>
    <col min="1" max="1" width="3.7109375" style="1" customWidth="1"/>
    <col min="2" max="2" width="4.421875" style="1" customWidth="1"/>
    <col min="3" max="3" width="7.140625" style="1" customWidth="1"/>
    <col min="4" max="4" width="19.00390625" style="1" customWidth="1"/>
    <col min="5" max="7" width="5.57421875" style="1" customWidth="1"/>
    <col min="8" max="8" width="5.7109375" style="1" customWidth="1"/>
    <col min="9" max="9" width="7.00390625" style="1" customWidth="1"/>
    <col min="10" max="10" width="5.421875" style="1" customWidth="1"/>
    <col min="11" max="11" width="7.7109375" style="1" customWidth="1"/>
    <col min="12" max="12" width="2.57421875" style="1" customWidth="1"/>
    <col min="13" max="13" width="2.421875" style="1" customWidth="1"/>
    <col min="14" max="14" width="15.00390625" style="1" customWidth="1"/>
    <col min="15" max="16" width="8.00390625" style="1" customWidth="1"/>
    <col min="17" max="17" width="7.7109375" style="1" customWidth="1"/>
    <col min="18" max="18" width="12.57421875" style="1" customWidth="1"/>
    <col min="19" max="19" width="11.421875" style="1" customWidth="1"/>
    <col min="20" max="20" width="2.28125" style="1" customWidth="1"/>
    <col min="21" max="21" width="1.7109375" style="1" customWidth="1"/>
    <col min="22" max="22" width="2.140625" style="1" customWidth="1"/>
    <col min="23" max="23" width="14.00390625" style="1" customWidth="1"/>
    <col min="24" max="24" width="6.140625" style="1" customWidth="1"/>
    <col min="25" max="27" width="7.28125" style="1" customWidth="1"/>
    <col min="28" max="16384" width="11.421875" style="1" customWidth="1"/>
  </cols>
  <sheetData>
    <row r="1" spans="13:21" ht="12.75">
      <c r="M1" s="2"/>
      <c r="U1" s="161"/>
    </row>
    <row r="2" spans="13:21" ht="12.75">
      <c r="M2" s="2"/>
      <c r="U2" s="161"/>
    </row>
    <row r="3" spans="13:21" ht="12.75">
      <c r="M3" s="2"/>
      <c r="U3" s="161"/>
    </row>
    <row r="4" spans="13:21" ht="12.75">
      <c r="M4" s="2"/>
      <c r="U4" s="161"/>
    </row>
    <row r="5" spans="13:21" ht="12.75">
      <c r="M5" s="2"/>
      <c r="U5" s="161"/>
    </row>
    <row r="6" spans="2:21" ht="13.5">
      <c r="B6" s="270" t="s">
        <v>0</v>
      </c>
      <c r="C6" s="270"/>
      <c r="D6" s="270"/>
      <c r="E6" s="270"/>
      <c r="F6" s="270"/>
      <c r="G6" s="270"/>
      <c r="H6" s="270"/>
      <c r="I6" s="270"/>
      <c r="J6" s="270"/>
      <c r="K6" s="270"/>
      <c r="L6" s="3"/>
      <c r="M6" s="4"/>
      <c r="U6" s="161"/>
    </row>
    <row r="7" spans="2:21" ht="12.7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U7" s="161"/>
    </row>
    <row r="8" spans="2:21" ht="13.5" thickBo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/>
      <c r="U8" s="161"/>
    </row>
    <row r="9" spans="2:21" ht="15" customHeight="1" thickBot="1">
      <c r="B9" s="7"/>
      <c r="C9" s="271" t="s">
        <v>66</v>
      </c>
      <c r="D9" s="271"/>
      <c r="E9" s="9" t="s">
        <v>2</v>
      </c>
      <c r="F9" s="9" t="s">
        <v>3</v>
      </c>
      <c r="G9" s="9" t="s">
        <v>4</v>
      </c>
      <c r="H9" s="9" t="s">
        <v>5</v>
      </c>
      <c r="I9" s="10" t="s">
        <v>6</v>
      </c>
      <c r="J9" s="7"/>
      <c r="K9" s="7"/>
      <c r="L9" s="7"/>
      <c r="M9" s="8"/>
      <c r="U9" s="161"/>
    </row>
    <row r="10" spans="2:28" ht="15" customHeight="1" thickBot="1" thickTop="1">
      <c r="B10" s="7"/>
      <c r="C10" s="300" t="str">
        <f>'[1]Equipes-Pool'!$B$12</f>
        <v>Rangers de New York</v>
      </c>
      <c r="D10" s="301"/>
      <c r="E10" s="192">
        <v>55</v>
      </c>
      <c r="F10" s="193">
        <v>65</v>
      </c>
      <c r="G10" s="193">
        <v>140</v>
      </c>
      <c r="H10" s="193">
        <v>153</v>
      </c>
      <c r="I10" s="218">
        <f>F10+(G10-H10)</f>
        <v>52</v>
      </c>
      <c r="J10" s="7"/>
      <c r="K10" s="7"/>
      <c r="L10" s="7"/>
      <c r="M10" s="8"/>
      <c r="N10" s="265" t="s">
        <v>65</v>
      </c>
      <c r="O10" s="266"/>
      <c r="P10" s="266"/>
      <c r="Q10" s="266"/>
      <c r="R10" s="267"/>
      <c r="U10" s="161"/>
      <c r="W10" s="293" t="s">
        <v>171</v>
      </c>
      <c r="X10" s="294"/>
      <c r="Y10" s="294"/>
      <c r="Z10" s="294"/>
      <c r="AA10" s="294"/>
      <c r="AB10" s="295"/>
    </row>
    <row r="11" spans="2:28" ht="15" customHeight="1" thickBot="1">
      <c r="B11" s="7"/>
      <c r="C11" s="331" t="str">
        <f>'[1]Equipes-Pool'!$B$14</f>
        <v>Devils du New Jersey</v>
      </c>
      <c r="D11" s="332"/>
      <c r="E11" s="40">
        <f>(('[1]Equipes-Pool'!$C$14)-13)-42</f>
        <v>12</v>
      </c>
      <c r="F11" s="40">
        <f>(('[1]Equipes-Pool'!$D$14)-16)-57</f>
        <v>18</v>
      </c>
      <c r="G11" s="40">
        <f>(('[1]Equipes-Pool'!$E$14)-36)-136</f>
        <v>38</v>
      </c>
      <c r="H11" s="40">
        <f>(('[1]Equipes-Pool'!$F$14)-33)-103</f>
        <v>30</v>
      </c>
      <c r="I11" s="37">
        <f>F11+(G11-H11)</f>
        <v>26</v>
      </c>
      <c r="J11" s="7"/>
      <c r="K11" s="7"/>
      <c r="L11" s="7"/>
      <c r="M11" s="8"/>
      <c r="N11" s="16" t="s">
        <v>8</v>
      </c>
      <c r="O11" s="17" t="s">
        <v>9</v>
      </c>
      <c r="P11" s="71" t="s">
        <v>10</v>
      </c>
      <c r="Q11" s="18" t="s">
        <v>11</v>
      </c>
      <c r="R11" s="19" t="s">
        <v>68</v>
      </c>
      <c r="U11" s="161"/>
      <c r="W11" s="152" t="s">
        <v>8</v>
      </c>
      <c r="X11" s="296" t="s">
        <v>83</v>
      </c>
      <c r="Y11" s="297"/>
      <c r="Z11" s="296" t="s">
        <v>196</v>
      </c>
      <c r="AA11" s="297"/>
      <c r="AB11" s="158" t="s">
        <v>159</v>
      </c>
    </row>
    <row r="12" spans="2:28" ht="14.25" thickTop="1">
      <c r="B12" s="7"/>
      <c r="C12" s="274" t="s">
        <v>7</v>
      </c>
      <c r="D12" s="275"/>
      <c r="E12" s="14">
        <f>SUM(E10:E11)</f>
        <v>67</v>
      </c>
      <c r="F12" s="14">
        <f>SUM(F10:F11)</f>
        <v>83</v>
      </c>
      <c r="G12" s="14">
        <f>SUM(G10:G11)</f>
        <v>178</v>
      </c>
      <c r="H12" s="14">
        <f>SUM(H10:H11)</f>
        <v>183</v>
      </c>
      <c r="I12" s="33">
        <f>SUM(I10:I11)</f>
        <v>78</v>
      </c>
      <c r="J12" s="7"/>
      <c r="K12" s="7"/>
      <c r="L12" s="7"/>
      <c r="M12" s="8"/>
      <c r="N12" s="20" t="s">
        <v>12</v>
      </c>
      <c r="O12" s="21">
        <f>E12</f>
        <v>67</v>
      </c>
      <c r="P12" s="72">
        <f>I12</f>
        <v>78</v>
      </c>
      <c r="Q12" s="23">
        <f aca="true" t="shared" si="0" ref="Q12:Q18">P12/O12</f>
        <v>1.164179104477612</v>
      </c>
      <c r="R12" s="22">
        <f>'[2]Individuel'!$D$19</f>
        <v>107.5</v>
      </c>
      <c r="U12" s="161"/>
      <c r="W12" s="155"/>
      <c r="X12" s="154" t="s">
        <v>143</v>
      </c>
      <c r="Y12" s="154" t="s">
        <v>157</v>
      </c>
      <c r="Z12" s="154" t="s">
        <v>143</v>
      </c>
      <c r="AA12" s="154" t="s">
        <v>157</v>
      </c>
      <c r="AB12" s="156"/>
    </row>
    <row r="13" spans="2:28" ht="1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25"/>
      <c r="N13" s="26" t="s">
        <v>14</v>
      </c>
      <c r="O13" s="27">
        <f>E19</f>
        <v>108</v>
      </c>
      <c r="P13" s="73">
        <f>K19</f>
        <v>134</v>
      </c>
      <c r="Q13" s="29">
        <f t="shared" si="0"/>
        <v>1.2407407407407407</v>
      </c>
      <c r="R13" s="28">
        <f>'[2]Individuel'!$I$19</f>
        <v>146.5</v>
      </c>
      <c r="U13" s="161"/>
      <c r="W13" s="153" t="s">
        <v>156</v>
      </c>
      <c r="X13" s="14" t="s">
        <v>154</v>
      </c>
      <c r="Y13" s="14">
        <v>1228</v>
      </c>
      <c r="Z13" s="22"/>
      <c r="AA13" s="22"/>
      <c r="AB13" s="139">
        <f>Y13+AA13</f>
        <v>1228</v>
      </c>
    </row>
    <row r="14" spans="2:28" ht="15" customHeight="1" thickBot="1">
      <c r="B14" s="254" t="s">
        <v>13</v>
      </c>
      <c r="C14" s="254"/>
      <c r="D14" s="254"/>
      <c r="E14" s="254"/>
      <c r="F14" s="254"/>
      <c r="G14" s="254"/>
      <c r="H14" s="254"/>
      <c r="I14" s="254"/>
      <c r="J14" s="254"/>
      <c r="K14" s="254"/>
      <c r="L14" s="24"/>
      <c r="M14" s="8"/>
      <c r="N14" s="26" t="s">
        <v>23</v>
      </c>
      <c r="O14" s="27">
        <f>E38</f>
        <v>519</v>
      </c>
      <c r="P14" s="73">
        <f>H38</f>
        <v>441</v>
      </c>
      <c r="Q14" s="29">
        <f t="shared" si="0"/>
        <v>0.8497109826589595</v>
      </c>
      <c r="R14" s="28">
        <f>'[2]Individuel'!$N$19</f>
        <v>391.4</v>
      </c>
      <c r="U14" s="161"/>
      <c r="W14" s="49" t="s">
        <v>105</v>
      </c>
      <c r="X14" s="324" t="s">
        <v>118</v>
      </c>
      <c r="Y14" s="325"/>
      <c r="Z14" s="22"/>
      <c r="AA14" s="22"/>
      <c r="AB14" s="139">
        <f aca="true" t="shared" si="1" ref="AB14:AB28">Y14+AA14</f>
        <v>0</v>
      </c>
    </row>
    <row r="15" spans="2:28" ht="15" customHeight="1" thickBot="1">
      <c r="B15" s="30" t="s">
        <v>15</v>
      </c>
      <c r="C15" s="30" t="s">
        <v>16</v>
      </c>
      <c r="D15" s="30" t="s">
        <v>17</v>
      </c>
      <c r="E15" s="31" t="s">
        <v>2</v>
      </c>
      <c r="F15" s="31" t="s">
        <v>18</v>
      </c>
      <c r="G15" s="31" t="s">
        <v>19</v>
      </c>
      <c r="H15" s="31" t="s">
        <v>20</v>
      </c>
      <c r="I15" s="31" t="s">
        <v>21</v>
      </c>
      <c r="J15" s="31" t="s">
        <v>22</v>
      </c>
      <c r="K15" s="32" t="s">
        <v>6</v>
      </c>
      <c r="L15" s="7"/>
      <c r="M15" s="8"/>
      <c r="N15" s="26" t="s">
        <v>24</v>
      </c>
      <c r="O15" s="27">
        <f>E53</f>
        <v>270</v>
      </c>
      <c r="P15" s="73">
        <f>H53</f>
        <v>221</v>
      </c>
      <c r="Q15" s="29">
        <f t="shared" si="0"/>
        <v>0.8185185185185185</v>
      </c>
      <c r="R15" s="28">
        <f>'[2]Individuel'!$D$33</f>
        <v>232.7</v>
      </c>
      <c r="U15" s="161"/>
      <c r="W15" s="49" t="s">
        <v>166</v>
      </c>
      <c r="X15" s="43" t="s">
        <v>148</v>
      </c>
      <c r="Y15" s="43">
        <v>111</v>
      </c>
      <c r="Z15" s="14"/>
      <c r="AA15" s="14"/>
      <c r="AB15" s="139">
        <f t="shared" si="1"/>
        <v>111</v>
      </c>
    </row>
    <row r="16" spans="2:28" ht="15" customHeight="1" thickTop="1">
      <c r="B16" s="106">
        <f>'[1]Pool-gardien'!$B$6</f>
        <v>27.04931506849315</v>
      </c>
      <c r="C16" s="106" t="str">
        <f>'[1]Pool-gardien'!$C$6</f>
        <v>Nyr</v>
      </c>
      <c r="D16" s="126" t="str">
        <f>'[1]Pool-gardien'!$D$6</f>
        <v>Henrik Lundqvist</v>
      </c>
      <c r="E16" s="106">
        <f>'[1]Pool-gardien'!$E$6</f>
        <v>57</v>
      </c>
      <c r="F16" s="106">
        <f>'[1]Pool-gardien'!$F$6</f>
        <v>30</v>
      </c>
      <c r="G16" s="106">
        <f>'[1]Pool-gardien'!$G$6</f>
        <v>7</v>
      </c>
      <c r="H16" s="106">
        <f>'[1]Pool-gardien'!$H$6</f>
        <v>2</v>
      </c>
      <c r="I16" s="106">
        <f>'[1]Pool-gardien'!$I$6</f>
        <v>0</v>
      </c>
      <c r="J16" s="106">
        <f>'[1]Pool-gardien'!$J$6</f>
        <v>2</v>
      </c>
      <c r="K16" s="33">
        <f>(F16*2)+G16+(H16*4)+(I16*10)+J16</f>
        <v>77</v>
      </c>
      <c r="L16" s="7"/>
      <c r="M16" s="8"/>
      <c r="N16" s="26" t="s">
        <v>25</v>
      </c>
      <c r="O16" s="27">
        <f>E71</f>
        <v>398</v>
      </c>
      <c r="P16" s="73">
        <f>H71</f>
        <v>161</v>
      </c>
      <c r="Q16" s="29">
        <f t="shared" si="0"/>
        <v>0.4045226130653266</v>
      </c>
      <c r="R16" s="28">
        <f>'[2]Individuel'!$I$33</f>
        <v>193.3</v>
      </c>
      <c r="U16" s="161"/>
      <c r="W16" s="49" t="s">
        <v>14</v>
      </c>
      <c r="X16" s="43" t="s">
        <v>147</v>
      </c>
      <c r="Y16" s="43">
        <v>206</v>
      </c>
      <c r="Z16" s="22"/>
      <c r="AA16" s="22"/>
      <c r="AB16" s="139">
        <f t="shared" si="1"/>
        <v>206</v>
      </c>
    </row>
    <row r="17" spans="2:28" ht="15" customHeight="1" thickBot="1">
      <c r="B17" s="185">
        <f>'[1]Pool-gardien'!$B$43</f>
        <v>26.5013698630137</v>
      </c>
      <c r="C17" s="185" t="str">
        <f>'[1]Pool-gardien'!$C$43</f>
        <v>Col</v>
      </c>
      <c r="D17" s="186" t="str">
        <f>'[1]Pool-gardien'!$D$43</f>
        <v>Peter Budaj</v>
      </c>
      <c r="E17" s="185">
        <v>28</v>
      </c>
      <c r="F17" s="185">
        <v>12</v>
      </c>
      <c r="G17" s="185">
        <v>1</v>
      </c>
      <c r="H17" s="185">
        <v>1</v>
      </c>
      <c r="I17" s="185">
        <v>0</v>
      </c>
      <c r="J17" s="185">
        <v>0</v>
      </c>
      <c r="K17" s="203">
        <f>(F17*2)+G17+(H17*4)+(I17*10)+J17</f>
        <v>29</v>
      </c>
      <c r="L17" s="7"/>
      <c r="M17" s="8"/>
      <c r="N17" s="38" t="s">
        <v>27</v>
      </c>
      <c r="O17" s="117">
        <f>E86</f>
        <v>102</v>
      </c>
      <c r="P17" s="74">
        <f>H86</f>
        <v>78</v>
      </c>
      <c r="Q17" s="41">
        <f t="shared" si="0"/>
        <v>0.7647058823529411</v>
      </c>
      <c r="R17" s="40">
        <f>'[2]Individuel'!$N$33</f>
        <v>63.8</v>
      </c>
      <c r="U17" s="161"/>
      <c r="W17" s="49" t="s">
        <v>84</v>
      </c>
      <c r="X17" s="43" t="s">
        <v>152</v>
      </c>
      <c r="Y17" s="43">
        <v>427</v>
      </c>
      <c r="Z17" s="22"/>
      <c r="AA17" s="22"/>
      <c r="AB17" s="139">
        <f t="shared" si="1"/>
        <v>427</v>
      </c>
    </row>
    <row r="18" spans="2:28" ht="15" customHeight="1" thickBot="1">
      <c r="B18" s="109">
        <f>'[1]Pool-gardien'!$B$28</f>
        <v>32.51780821917808</v>
      </c>
      <c r="C18" s="109" t="str">
        <f>'[1]Pool-gardien'!$C$28</f>
        <v>Wsh</v>
      </c>
      <c r="D18" s="111" t="str">
        <f>'[1]Pool-gardien'!$D$28</f>
        <v>Jose Theodore</v>
      </c>
      <c r="E18" s="113">
        <f>('[1]Pool-gardien'!$E$28)-24</f>
        <v>23</v>
      </c>
      <c r="F18" s="113">
        <f>('[1]Pool-gardien'!$F$28)-14</f>
        <v>12</v>
      </c>
      <c r="G18" s="113">
        <f>('[1]Pool-gardien'!$G$28)-2</f>
        <v>2</v>
      </c>
      <c r="H18" s="113">
        <f>('[1]Pool-gardien'!$H$28)-1</f>
        <v>0</v>
      </c>
      <c r="I18" s="113">
        <f>('[1]Pool-gardien'!$I$28)-0</f>
        <v>0</v>
      </c>
      <c r="J18" s="113">
        <f>('[1]Pool-gardien'!$J$28)-1</f>
        <v>2</v>
      </c>
      <c r="K18" s="37">
        <f>(F18*2)+G18+(H18*4)+(I18*10)+J18</f>
        <v>28</v>
      </c>
      <c r="L18" s="7"/>
      <c r="M18" s="8"/>
      <c r="N18" s="42" t="s">
        <v>28</v>
      </c>
      <c r="O18" s="22">
        <f>SUM(O12:O17)</f>
        <v>1464</v>
      </c>
      <c r="P18" s="75">
        <f>SUM(P12:P17)</f>
        <v>1113</v>
      </c>
      <c r="Q18" s="23">
        <f t="shared" si="0"/>
        <v>0.7602459016393442</v>
      </c>
      <c r="R18" s="22">
        <f>'[2]Classement'!$C$20</f>
        <v>1135.2</v>
      </c>
      <c r="U18" s="161"/>
      <c r="W18" s="49" t="s">
        <v>24</v>
      </c>
      <c r="X18" s="43" t="s">
        <v>152</v>
      </c>
      <c r="Y18" s="43">
        <v>253</v>
      </c>
      <c r="Z18" s="22"/>
      <c r="AA18" s="22"/>
      <c r="AB18" s="139">
        <f t="shared" si="1"/>
        <v>253</v>
      </c>
    </row>
    <row r="19" spans="2:28" ht="15" customHeight="1" thickBot="1">
      <c r="B19" s="274" t="s">
        <v>26</v>
      </c>
      <c r="C19" s="275"/>
      <c r="D19" s="255"/>
      <c r="E19" s="14">
        <f aca="true" t="shared" si="2" ref="E19:J19">SUM(E16:E18)</f>
        <v>108</v>
      </c>
      <c r="F19" s="14">
        <f t="shared" si="2"/>
        <v>54</v>
      </c>
      <c r="G19" s="14">
        <f t="shared" si="2"/>
        <v>10</v>
      </c>
      <c r="H19" s="14">
        <f t="shared" si="2"/>
        <v>3</v>
      </c>
      <c r="I19" s="14">
        <f t="shared" si="2"/>
        <v>0</v>
      </c>
      <c r="J19" s="14">
        <f t="shared" si="2"/>
        <v>4</v>
      </c>
      <c r="K19" s="33">
        <f>(F19*2)+G19+(H19*4)+(I19*10)+J19</f>
        <v>134</v>
      </c>
      <c r="L19" s="7"/>
      <c r="M19" s="8"/>
      <c r="U19" s="161"/>
      <c r="W19" s="49" t="s">
        <v>25</v>
      </c>
      <c r="X19" s="43" t="s">
        <v>151</v>
      </c>
      <c r="Y19" s="43">
        <v>200</v>
      </c>
      <c r="Z19" s="22"/>
      <c r="AA19" s="22"/>
      <c r="AB19" s="139">
        <f t="shared" si="1"/>
        <v>200</v>
      </c>
    </row>
    <row r="20" spans="2:28" ht="15" customHeight="1">
      <c r="B20" s="5"/>
      <c r="C20" s="5"/>
      <c r="D20" s="5"/>
      <c r="E20" s="7"/>
      <c r="F20" s="7"/>
      <c r="G20" s="7"/>
      <c r="H20" s="7"/>
      <c r="I20" s="7"/>
      <c r="J20" s="7"/>
      <c r="K20" s="7"/>
      <c r="L20" s="7"/>
      <c r="M20" s="8"/>
      <c r="N20" s="265" t="s">
        <v>64</v>
      </c>
      <c r="O20" s="266"/>
      <c r="P20" s="266"/>
      <c r="Q20" s="266"/>
      <c r="R20" s="267"/>
      <c r="U20" s="161"/>
      <c r="W20" s="49" t="s">
        <v>85</v>
      </c>
      <c r="X20" s="43" t="s">
        <v>152</v>
      </c>
      <c r="Y20" s="43">
        <v>31</v>
      </c>
      <c r="Z20" s="22"/>
      <c r="AA20" s="22"/>
      <c r="AB20" s="139">
        <f t="shared" si="1"/>
        <v>31</v>
      </c>
    </row>
    <row r="21" spans="2:28" ht="15" customHeight="1" thickBot="1">
      <c r="B21" s="256" t="s">
        <v>23</v>
      </c>
      <c r="C21" s="257"/>
      <c r="D21" s="257"/>
      <c r="E21" s="257"/>
      <c r="F21" s="257"/>
      <c r="G21" s="257"/>
      <c r="H21" s="257"/>
      <c r="I21" s="258"/>
      <c r="J21" s="7"/>
      <c r="K21" s="7"/>
      <c r="L21" s="7"/>
      <c r="M21" s="8"/>
      <c r="N21" s="16" t="s">
        <v>8</v>
      </c>
      <c r="O21" s="17" t="s">
        <v>9</v>
      </c>
      <c r="P21" s="71" t="s">
        <v>10</v>
      </c>
      <c r="Q21" s="18" t="s">
        <v>11</v>
      </c>
      <c r="R21" s="19" t="s">
        <v>68</v>
      </c>
      <c r="U21" s="161"/>
      <c r="W21" s="49" t="s">
        <v>21</v>
      </c>
      <c r="X21" s="43" t="s">
        <v>152</v>
      </c>
      <c r="Y21" s="43">
        <v>335</v>
      </c>
      <c r="Z21" s="22"/>
      <c r="AA21" s="22"/>
      <c r="AB21" s="139">
        <f t="shared" si="1"/>
        <v>335</v>
      </c>
    </row>
    <row r="22" spans="2:28" ht="15" customHeight="1" thickBot="1" thickTop="1">
      <c r="B22" s="30" t="s">
        <v>15</v>
      </c>
      <c r="C22" s="30" t="s">
        <v>29</v>
      </c>
      <c r="D22" s="30" t="s">
        <v>17</v>
      </c>
      <c r="E22" s="31" t="s">
        <v>2</v>
      </c>
      <c r="F22" s="31" t="s">
        <v>21</v>
      </c>
      <c r="G22" s="31" t="s">
        <v>30</v>
      </c>
      <c r="H22" s="32" t="s">
        <v>6</v>
      </c>
      <c r="I22" s="31" t="s">
        <v>11</v>
      </c>
      <c r="J22" s="7"/>
      <c r="K22" s="7"/>
      <c r="L22" s="7"/>
      <c r="M22" s="8"/>
      <c r="N22" s="20" t="s">
        <v>31</v>
      </c>
      <c r="O22" s="27">
        <f>E92</f>
        <v>67</v>
      </c>
      <c r="P22" s="73">
        <f>I92</f>
        <v>55</v>
      </c>
      <c r="Q22" s="29">
        <f>P22/O22</f>
        <v>0.8208955223880597</v>
      </c>
      <c r="R22" s="63"/>
      <c r="U22" s="161"/>
      <c r="W22" s="49" t="s">
        <v>30</v>
      </c>
      <c r="X22" s="43" t="s">
        <v>154</v>
      </c>
      <c r="Y22" s="43">
        <v>576</v>
      </c>
      <c r="Z22" s="14"/>
      <c r="AA22" s="14"/>
      <c r="AB22" s="139">
        <f t="shared" si="1"/>
        <v>576</v>
      </c>
    </row>
    <row r="23" spans="2:28" ht="15" customHeight="1" thickTop="1">
      <c r="B23" s="109">
        <f>'[1]POOL-joueus'!$B$331</f>
        <v>29.054794520547944</v>
      </c>
      <c r="C23" s="109" t="str">
        <f>'[1]POOL-joueus'!$C$331</f>
        <v>Phi</v>
      </c>
      <c r="D23" s="111" t="str">
        <f>'[1]POOL-joueus'!$D$331</f>
        <v>Simon Gagne</v>
      </c>
      <c r="E23" s="109">
        <f>(('[1]POOL-joueus'!$E$331))-1</f>
        <v>61</v>
      </c>
      <c r="F23" s="109">
        <f>(('[1]POOL-joueus'!$F$331))</f>
        <v>26</v>
      </c>
      <c r="G23" s="109">
        <f>(('[1]POOL-joueus'!$G$331))</f>
        <v>35</v>
      </c>
      <c r="H23" s="44">
        <f aca="true" t="shared" si="3" ref="H23:H38">SUM(F23:G23)</f>
        <v>61</v>
      </c>
      <c r="I23" s="45">
        <f aca="true" t="shared" si="4" ref="I23:I38">H23/E23</f>
        <v>1</v>
      </c>
      <c r="J23" s="7"/>
      <c r="K23" s="7"/>
      <c r="L23" s="7"/>
      <c r="M23" s="8"/>
      <c r="N23" s="26" t="s">
        <v>32</v>
      </c>
      <c r="O23" s="27">
        <f>E101</f>
        <v>56</v>
      </c>
      <c r="P23" s="73">
        <f>K101</f>
        <v>62</v>
      </c>
      <c r="Q23" s="29">
        <f aca="true" t="shared" si="5" ref="Q23:Q28">P23/O23</f>
        <v>1.1071428571428572</v>
      </c>
      <c r="R23" s="63"/>
      <c r="U23" s="161"/>
      <c r="W23" s="49" t="s">
        <v>86</v>
      </c>
      <c r="X23" s="43" t="s">
        <v>154</v>
      </c>
      <c r="Y23" s="43">
        <v>911</v>
      </c>
      <c r="Z23" s="22"/>
      <c r="AA23" s="22"/>
      <c r="AB23" s="139">
        <f t="shared" si="1"/>
        <v>911</v>
      </c>
    </row>
    <row r="24" spans="2:28" ht="15" customHeight="1">
      <c r="B24" s="107">
        <f>'[1]POOL-joueus'!$B$53</f>
        <v>24.64109589041096</v>
      </c>
      <c r="C24" s="107" t="str">
        <f>'[1]POOL-joueus'!$C$53</f>
        <v>N.J.</v>
      </c>
      <c r="D24" s="124" t="str">
        <f>'[1]POOL-joueus'!$D$53</f>
        <v>Zach Parise</v>
      </c>
      <c r="E24" s="107">
        <f>'[1]POOL-joueus'!$E$53</f>
        <v>67</v>
      </c>
      <c r="F24" s="107">
        <f>'[1]POOL-joueus'!$F$53</f>
        <v>40</v>
      </c>
      <c r="G24" s="107">
        <f>'[1]POOL-joueus'!$G$53</f>
        <v>40</v>
      </c>
      <c r="H24" s="44">
        <f t="shared" si="3"/>
        <v>80</v>
      </c>
      <c r="I24" s="45">
        <f t="shared" si="4"/>
        <v>1.1940298507462686</v>
      </c>
      <c r="J24" s="7"/>
      <c r="K24" s="7"/>
      <c r="L24" s="7"/>
      <c r="M24" s="8"/>
      <c r="N24" s="26" t="s">
        <v>33</v>
      </c>
      <c r="O24" s="27">
        <f>E120</f>
        <v>210</v>
      </c>
      <c r="P24" s="73">
        <f>H120</f>
        <v>127</v>
      </c>
      <c r="Q24" s="29">
        <f t="shared" si="5"/>
        <v>0.6047619047619047</v>
      </c>
      <c r="R24" s="63"/>
      <c r="U24" s="161"/>
      <c r="W24" s="49" t="s">
        <v>87</v>
      </c>
      <c r="X24" s="43" t="s">
        <v>154</v>
      </c>
      <c r="Y24" s="43">
        <v>445</v>
      </c>
      <c r="Z24" s="22"/>
      <c r="AA24" s="22"/>
      <c r="AB24" s="139">
        <f t="shared" si="1"/>
        <v>445</v>
      </c>
    </row>
    <row r="25" spans="2:28" ht="15" customHeight="1">
      <c r="B25" s="185">
        <f>'[1]POOL-joueus'!$B$38</f>
        <v>25.6</v>
      </c>
      <c r="C25" s="185" t="str">
        <f>'[1]POOL-joueus'!$C$38</f>
        <v>Edm</v>
      </c>
      <c r="D25" s="186" t="str">
        <f>'[1]POOL-joueus'!$D$38</f>
        <v>Ales Hemsky</v>
      </c>
      <c r="E25" s="185">
        <v>43</v>
      </c>
      <c r="F25" s="185">
        <v>15</v>
      </c>
      <c r="G25" s="185">
        <v>29</v>
      </c>
      <c r="H25" s="187">
        <f t="shared" si="3"/>
        <v>44</v>
      </c>
      <c r="I25" s="188">
        <f t="shared" si="4"/>
        <v>1.0232558139534884</v>
      </c>
      <c r="J25" s="7"/>
      <c r="K25" s="7"/>
      <c r="L25" s="7"/>
      <c r="M25" s="8"/>
      <c r="N25" s="26" t="s">
        <v>34</v>
      </c>
      <c r="O25" s="27">
        <f>E133</f>
        <v>206</v>
      </c>
      <c r="P25" s="73">
        <f>H133</f>
        <v>95</v>
      </c>
      <c r="Q25" s="29">
        <f t="shared" si="5"/>
        <v>0.46116504854368934</v>
      </c>
      <c r="R25" s="63"/>
      <c r="U25" s="161"/>
      <c r="W25" s="49" t="s">
        <v>112</v>
      </c>
      <c r="X25" s="43" t="s">
        <v>149</v>
      </c>
      <c r="Y25" s="43">
        <v>67</v>
      </c>
      <c r="Z25" s="22"/>
      <c r="AA25" s="22"/>
      <c r="AB25" s="139">
        <f t="shared" si="1"/>
        <v>67</v>
      </c>
    </row>
    <row r="26" spans="1:28" ht="15" customHeight="1">
      <c r="A26" s="142"/>
      <c r="B26" s="107">
        <f>'[1]POOL-joueus'!$B$83</f>
        <v>32.93698630136986</v>
      </c>
      <c r="C26" s="107" t="str">
        <f>'[1]POOL-joueus'!$C$83</f>
        <v>N.J.</v>
      </c>
      <c r="D26" s="124" t="str">
        <f>'[1]POOL-joueus'!$D$83</f>
        <v>Patrik Elias</v>
      </c>
      <c r="E26" s="107">
        <f>'[1]POOL-joueus'!$E$83</f>
        <v>67</v>
      </c>
      <c r="F26" s="107">
        <f>'[1]POOL-joueus'!$F$83</f>
        <v>27</v>
      </c>
      <c r="G26" s="107">
        <f>'[1]POOL-joueus'!$G$83</f>
        <v>44</v>
      </c>
      <c r="H26" s="44">
        <f t="shared" si="3"/>
        <v>71</v>
      </c>
      <c r="I26" s="45">
        <f t="shared" si="4"/>
        <v>1.0597014925373134</v>
      </c>
      <c r="J26" s="7"/>
      <c r="K26" s="7"/>
      <c r="L26" s="7"/>
      <c r="M26" s="8"/>
      <c r="N26" s="26" t="s">
        <v>35</v>
      </c>
      <c r="O26" s="27">
        <f>E147</f>
        <v>132</v>
      </c>
      <c r="P26" s="73">
        <f>H147</f>
        <v>55</v>
      </c>
      <c r="Q26" s="29">
        <f t="shared" si="5"/>
        <v>0.4166666666666667</v>
      </c>
      <c r="R26" s="63"/>
      <c r="U26" s="161"/>
      <c r="W26" s="49" t="s">
        <v>88</v>
      </c>
      <c r="X26" s="73" t="s">
        <v>95</v>
      </c>
      <c r="Y26" s="43">
        <v>13</v>
      </c>
      <c r="Z26" s="22"/>
      <c r="AA26" s="22"/>
      <c r="AB26" s="139">
        <f t="shared" si="1"/>
        <v>13</v>
      </c>
    </row>
    <row r="27" spans="2:28" ht="15" customHeight="1" thickBot="1">
      <c r="B27" s="189">
        <f>'[1]POOL-joueus'!$B$254</f>
        <v>27.91780821917808</v>
      </c>
      <c r="C27" s="189" t="str">
        <f>'[1]POOL-joueus'!$C$254</f>
        <v>Chi</v>
      </c>
      <c r="D27" s="190" t="str">
        <f>'[1]POOL-joueus'!$D$254</f>
        <v>Martin Havlat</v>
      </c>
      <c r="E27" s="189">
        <v>64</v>
      </c>
      <c r="F27" s="189">
        <v>21</v>
      </c>
      <c r="G27" s="189">
        <v>36</v>
      </c>
      <c r="H27" s="187">
        <f t="shared" si="3"/>
        <v>57</v>
      </c>
      <c r="I27" s="188">
        <f t="shared" si="4"/>
        <v>0.890625</v>
      </c>
      <c r="J27" s="7"/>
      <c r="K27" s="7"/>
      <c r="L27" s="7"/>
      <c r="M27" s="8"/>
      <c r="N27" s="38" t="s">
        <v>36</v>
      </c>
      <c r="O27" s="39">
        <f>E160</f>
        <v>45</v>
      </c>
      <c r="P27" s="74">
        <f>H160</f>
        <v>23</v>
      </c>
      <c r="Q27" s="41">
        <f t="shared" si="5"/>
        <v>0.5111111111111111</v>
      </c>
      <c r="R27" s="64"/>
      <c r="U27" s="161"/>
      <c r="W27" s="49" t="s">
        <v>160</v>
      </c>
      <c r="X27" s="43" t="s">
        <v>148</v>
      </c>
      <c r="Y27" s="43">
        <v>16</v>
      </c>
      <c r="Z27" s="22"/>
      <c r="AA27" s="22"/>
      <c r="AB27" s="139">
        <f t="shared" si="1"/>
        <v>16</v>
      </c>
    </row>
    <row r="28" spans="2:28" ht="15" customHeight="1">
      <c r="B28" s="107">
        <f>'[1]POOL-joueus'!$B$336</f>
        <v>22.21095890410959</v>
      </c>
      <c r="C28" s="107" t="str">
        <f>'[1]POOL-joueus'!$C$336</f>
        <v>S.J.</v>
      </c>
      <c r="D28" s="124" t="str">
        <f>'[1]POOL-joueus'!$D$336</f>
        <v>Devin Setoguchi</v>
      </c>
      <c r="E28" s="107">
        <f>('[1]POOL-joueus'!$E$336)-15</f>
        <v>50</v>
      </c>
      <c r="F28" s="107">
        <f>('[1]POOL-joueus'!$F$336)-7</f>
        <v>18</v>
      </c>
      <c r="G28" s="107">
        <f>('[1]POOL-joueus'!$G$336)-7</f>
        <v>21</v>
      </c>
      <c r="H28" s="44">
        <f t="shared" si="3"/>
        <v>39</v>
      </c>
      <c r="I28" s="45">
        <f t="shared" si="4"/>
        <v>0.78</v>
      </c>
      <c r="J28" s="7"/>
      <c r="K28" s="7"/>
      <c r="L28" s="7"/>
      <c r="M28" s="8"/>
      <c r="N28" s="42" t="s">
        <v>37</v>
      </c>
      <c r="O28" s="22">
        <f>SUM(O22:O27)</f>
        <v>716</v>
      </c>
      <c r="P28" s="72">
        <f>SUM(P22:P27)</f>
        <v>417</v>
      </c>
      <c r="Q28" s="23">
        <f t="shared" si="5"/>
        <v>0.5824022346368715</v>
      </c>
      <c r="R28" s="22">
        <f>'[2]Individuel'!$I$61</f>
        <v>420.7</v>
      </c>
      <c r="U28" s="161"/>
      <c r="W28" s="49" t="s">
        <v>161</v>
      </c>
      <c r="X28" s="43" t="s">
        <v>149</v>
      </c>
      <c r="Y28" s="43">
        <v>54</v>
      </c>
      <c r="Z28" s="22"/>
      <c r="AA28" s="22"/>
      <c r="AB28" s="139">
        <f t="shared" si="1"/>
        <v>54</v>
      </c>
    </row>
    <row r="29" spans="2:28" ht="15" customHeight="1" thickBot="1">
      <c r="B29" s="180">
        <f>'[1]POOL-joueus'!$B$138</f>
        <v>25.96712328767123</v>
      </c>
      <c r="C29" s="180" t="str">
        <f>'[1]POOL-joueus'!$C$138</f>
        <v>Car</v>
      </c>
      <c r="D29" s="181" t="str">
        <f>'[1]POOL-joueus'!$D$138</f>
        <v>Jussi Jokinen</v>
      </c>
      <c r="E29" s="180">
        <v>11</v>
      </c>
      <c r="F29" s="180">
        <v>1</v>
      </c>
      <c r="G29" s="180">
        <v>3</v>
      </c>
      <c r="H29" s="187">
        <f>SUM(F29:G29)</f>
        <v>4</v>
      </c>
      <c r="I29" s="188">
        <f>H29/E29</f>
        <v>0.36363636363636365</v>
      </c>
      <c r="J29" s="7"/>
      <c r="K29" s="7"/>
      <c r="L29" s="7"/>
      <c r="M29" s="8"/>
      <c r="U29" s="161"/>
      <c r="W29" s="49" t="s">
        <v>165</v>
      </c>
      <c r="X29" s="43" t="s">
        <v>150</v>
      </c>
      <c r="Y29" s="43">
        <v>28.2</v>
      </c>
      <c r="Z29" s="28"/>
      <c r="AA29" s="28"/>
      <c r="AB29" s="160"/>
    </row>
    <row r="30" spans="2:28" ht="15" customHeight="1">
      <c r="B30" s="109">
        <f>'[1]POOL-joueus'!$B$166</f>
        <v>26.12054794520548</v>
      </c>
      <c r="C30" s="109" t="str">
        <f>'[1]POOL-joueus'!$C$166</f>
        <v>Tor</v>
      </c>
      <c r="D30" s="111" t="str">
        <f>'[1]POOL-joueus'!$D$166</f>
        <v>Lee Stempniak</v>
      </c>
      <c r="E30" s="109">
        <f>((('[1]POOL-joueus'!$E$166)-10)-19)-7</f>
        <v>27</v>
      </c>
      <c r="F30" s="109">
        <f>((('[1]POOL-joueus'!$F$166)-2)-3)-2</f>
        <v>6</v>
      </c>
      <c r="G30" s="109">
        <f>((('[1]POOL-joueus'!$G$166)-6)-9)-3</f>
        <v>6</v>
      </c>
      <c r="H30" s="44">
        <f>SUM(F30:G30)</f>
        <v>12</v>
      </c>
      <c r="I30" s="45">
        <f>H30/E30</f>
        <v>0.4444444444444444</v>
      </c>
      <c r="J30" s="7"/>
      <c r="K30" s="7"/>
      <c r="L30" s="7"/>
      <c r="M30" s="8"/>
      <c r="N30" s="265" t="s">
        <v>60</v>
      </c>
      <c r="O30" s="266"/>
      <c r="P30" s="266"/>
      <c r="Q30" s="266"/>
      <c r="R30" s="267"/>
      <c r="U30" s="161"/>
      <c r="W30" s="159"/>
      <c r="X30" s="298" t="s">
        <v>81</v>
      </c>
      <c r="Y30" s="299"/>
      <c r="Z30" s="298" t="s">
        <v>158</v>
      </c>
      <c r="AA30" s="299"/>
      <c r="AB30" s="160"/>
    </row>
    <row r="31" spans="2:28" ht="15" customHeight="1" thickBot="1">
      <c r="B31" s="109">
        <f>'[1]POOL-joueus'!$B$130</f>
        <v>30.24109589041096</v>
      </c>
      <c r="C31" s="109" t="str">
        <f>'[1]POOL-joueus'!$C$130</f>
        <v>Edm</v>
      </c>
      <c r="D31" s="111" t="str">
        <f>'[1]POOL-joueus'!$D$130</f>
        <v>Ales Kotalik</v>
      </c>
      <c r="E31" s="109">
        <f>('[1]POOL-joueus'!$E$130)-44</f>
        <v>16</v>
      </c>
      <c r="F31" s="109">
        <f>('[1]POOL-joueus'!$F$130)-11</f>
        <v>2</v>
      </c>
      <c r="G31" s="109">
        <f>('[1]POOL-joueus'!$G$130)-15</f>
        <v>4</v>
      </c>
      <c r="H31" s="44">
        <f>SUM(F31:G31)</f>
        <v>6</v>
      </c>
      <c r="I31" s="45">
        <f>H31/E31</f>
        <v>0.375</v>
      </c>
      <c r="J31" s="7"/>
      <c r="K31" s="7"/>
      <c r="L31" s="7"/>
      <c r="M31" s="8"/>
      <c r="N31" s="16" t="s">
        <v>8</v>
      </c>
      <c r="O31" s="17" t="s">
        <v>9</v>
      </c>
      <c r="P31" s="17" t="s">
        <v>62</v>
      </c>
      <c r="Q31" s="18" t="s">
        <v>11</v>
      </c>
      <c r="R31" s="19" t="s">
        <v>68</v>
      </c>
      <c r="U31" s="161"/>
      <c r="W31" s="49" t="s">
        <v>167</v>
      </c>
      <c r="X31" s="259">
        <v>0</v>
      </c>
      <c r="Y31" s="260"/>
      <c r="Z31" s="259">
        <v>1</v>
      </c>
      <c r="AA31" s="260"/>
      <c r="AB31" s="140">
        <f>Z31+X31</f>
        <v>1</v>
      </c>
    </row>
    <row r="32" spans="2:28" ht="15" customHeight="1" thickTop="1">
      <c r="B32" s="109">
        <f>'[1]POOL-joueus'!$B$222</f>
        <v>37.106849315068494</v>
      </c>
      <c r="C32" s="109" t="str">
        <f>'[1]POOL-joueus'!$C$222</f>
        <v>Min</v>
      </c>
      <c r="D32" s="111" t="str">
        <f>'[1]POOL-joueus'!$D$222</f>
        <v>Owen Nolan</v>
      </c>
      <c r="E32" s="109">
        <f>(('[1]POOL-joueus'!$E$222)-40)-3</f>
        <v>1</v>
      </c>
      <c r="F32" s="109">
        <f>(('[1]POOL-joueus'!$F$222)-17)-3</f>
        <v>0</v>
      </c>
      <c r="G32" s="109">
        <f>(('[1]POOL-joueus'!$G$222)-13)-1</f>
        <v>0</v>
      </c>
      <c r="H32" s="44">
        <f>SUM(F32:G32)</f>
        <v>0</v>
      </c>
      <c r="I32" s="45">
        <f>H32/E32</f>
        <v>0</v>
      </c>
      <c r="J32" s="7"/>
      <c r="K32" s="7"/>
      <c r="L32" s="7"/>
      <c r="M32" s="8"/>
      <c r="N32" s="20" t="s">
        <v>21</v>
      </c>
      <c r="O32" s="69"/>
      <c r="P32" s="22">
        <f>F38+F53+F71+F84</f>
        <v>319</v>
      </c>
      <c r="Q32" s="23">
        <f>P32/O34</f>
        <v>0.25892857142857145</v>
      </c>
      <c r="R32" s="22">
        <f>'[2]Individuel'!$D$47</f>
        <v>320.7</v>
      </c>
      <c r="U32" s="161"/>
      <c r="W32" s="49" t="s">
        <v>168</v>
      </c>
      <c r="X32" s="259">
        <v>0</v>
      </c>
      <c r="Y32" s="260"/>
      <c r="Z32" s="259">
        <v>1</v>
      </c>
      <c r="AA32" s="260"/>
      <c r="AB32" s="140">
        <f>Z32+X32</f>
        <v>1</v>
      </c>
    </row>
    <row r="33" spans="2:28" ht="15" customHeight="1">
      <c r="B33" s="107">
        <f>'[1]POOL-joueus'!$B$154</f>
        <v>36.15890410958904</v>
      </c>
      <c r="C33" s="107" t="str">
        <f>'[1]POOL-joueus'!$C$154</f>
        <v>Det</v>
      </c>
      <c r="D33" s="124" t="str">
        <f>'[1]POOL-joueus'!$D$154</f>
        <v>Thomas Holmstrom</v>
      </c>
      <c r="E33" s="107">
        <f>('[1]POOL-joueus'!$E$154)-2</f>
        <v>38</v>
      </c>
      <c r="F33" s="107">
        <f>('[1]POOL-joueus'!$F$154)</f>
        <v>14</v>
      </c>
      <c r="G33" s="107">
        <f>('[1]POOL-joueus'!$G$154)-2</f>
        <v>15</v>
      </c>
      <c r="H33" s="44">
        <f t="shared" si="3"/>
        <v>29</v>
      </c>
      <c r="I33" s="45">
        <f t="shared" si="4"/>
        <v>0.7631578947368421</v>
      </c>
      <c r="J33" s="7"/>
      <c r="K33" s="7"/>
      <c r="L33" s="7"/>
      <c r="M33" s="8"/>
      <c r="N33" s="26" t="s">
        <v>30</v>
      </c>
      <c r="O33" s="69"/>
      <c r="P33" s="28">
        <f>G38+G53+G71+G84</f>
        <v>520</v>
      </c>
      <c r="Q33" s="29">
        <f>P33/O34</f>
        <v>0.42207792207792205</v>
      </c>
      <c r="R33" s="28">
        <f>'[2]Individuel'!$I$47</f>
        <v>539.3</v>
      </c>
      <c r="U33" s="161"/>
      <c r="W33" s="49" t="s">
        <v>89</v>
      </c>
      <c r="X33" s="259">
        <v>0</v>
      </c>
      <c r="Y33" s="260"/>
      <c r="Z33" s="259"/>
      <c r="AA33" s="260"/>
      <c r="AB33" s="140">
        <f>Z33+X33</f>
        <v>0</v>
      </c>
    </row>
    <row r="34" spans="2:28" ht="15" customHeight="1">
      <c r="B34" s="183">
        <f>'[1]POOL-joueus'!$B$112</f>
        <v>31.747945205479454</v>
      </c>
      <c r="C34" s="183" t="str">
        <f>'[1]POOL-joueus'!$C$112</f>
        <v>Buf</v>
      </c>
      <c r="D34" s="184" t="str">
        <f>'[1]POOL-joueus'!$D$112</f>
        <v>Jochen Hecht</v>
      </c>
      <c r="E34" s="183">
        <v>19</v>
      </c>
      <c r="F34" s="183">
        <v>3</v>
      </c>
      <c r="G34" s="183">
        <v>6</v>
      </c>
      <c r="H34" s="187">
        <f t="shared" si="3"/>
        <v>9</v>
      </c>
      <c r="I34" s="188">
        <f t="shared" si="4"/>
        <v>0.47368421052631576</v>
      </c>
      <c r="J34" s="7"/>
      <c r="K34" s="7"/>
      <c r="L34" s="7"/>
      <c r="M34" s="8"/>
      <c r="N34" s="26" t="s">
        <v>55</v>
      </c>
      <c r="O34" s="27">
        <f>E38+E53+E71+E84</f>
        <v>1232</v>
      </c>
      <c r="P34" s="28">
        <f>SUM(P32:P33)</f>
        <v>839</v>
      </c>
      <c r="Q34" s="29">
        <f>P34/O34</f>
        <v>0.6810064935064936</v>
      </c>
      <c r="R34" s="28">
        <f>'[2]Individuel'!$N$47</f>
        <v>860</v>
      </c>
      <c r="U34" s="161"/>
      <c r="W34" s="49" t="s">
        <v>194</v>
      </c>
      <c r="X34" s="259">
        <v>0</v>
      </c>
      <c r="Y34" s="260"/>
      <c r="Z34" s="259"/>
      <c r="AA34" s="260"/>
      <c r="AB34" s="140">
        <f>Z34+X34</f>
        <v>0</v>
      </c>
    </row>
    <row r="35" spans="2:28" ht="15" customHeight="1">
      <c r="B35" s="180">
        <f>'[1]POOL-joueus'!$B$150</f>
        <v>28.706849315068492</v>
      </c>
      <c r="C35" s="180" t="str">
        <f>'[1]POOL-joueus'!$C$150</f>
        <v>Nyi</v>
      </c>
      <c r="D35" s="181" t="str">
        <f>'[1]POOL-joueus'!$D$150</f>
        <v>Trent Hunter</v>
      </c>
      <c r="E35" s="180">
        <v>27</v>
      </c>
      <c r="F35" s="180">
        <v>6</v>
      </c>
      <c r="G35" s="180">
        <v>10</v>
      </c>
      <c r="H35" s="187">
        <f t="shared" si="3"/>
        <v>16</v>
      </c>
      <c r="I35" s="188">
        <f t="shared" si="4"/>
        <v>0.5925925925925926</v>
      </c>
      <c r="J35" s="145"/>
      <c r="K35" s="145"/>
      <c r="L35" s="7"/>
      <c r="M35" s="8"/>
      <c r="N35" s="26" t="s">
        <v>56</v>
      </c>
      <c r="O35" s="67"/>
      <c r="P35" s="63"/>
      <c r="Q35" s="68"/>
      <c r="R35" s="29">
        <f>'[2]Individuel'!$D$61</f>
        <v>0.6703402518874818</v>
      </c>
      <c r="U35" s="161"/>
      <c r="W35" s="49" t="s">
        <v>132</v>
      </c>
      <c r="X35" s="268">
        <v>0</v>
      </c>
      <c r="Y35" s="269"/>
      <c r="Z35" s="268">
        <v>0</v>
      </c>
      <c r="AA35" s="269"/>
      <c r="AB35" s="157">
        <f>SUM(X35:Y35)</f>
        <v>0</v>
      </c>
    </row>
    <row r="36" spans="2:21" ht="15" customHeight="1">
      <c r="B36" s="189">
        <f>'[1]POOL-joueus'!$B$258</f>
        <v>21.81917808219178</v>
      </c>
      <c r="C36" s="189" t="str">
        <f>'[1]POOL-joueus'!$C$258</f>
        <v>Mtl</v>
      </c>
      <c r="D36" s="190" t="str">
        <f>'[1]POOL-joueus'!$D$258</f>
        <v>Guillaume Latendresse</v>
      </c>
      <c r="E36" s="185">
        <v>15</v>
      </c>
      <c r="F36" s="185">
        <v>1</v>
      </c>
      <c r="G36" s="185">
        <v>3</v>
      </c>
      <c r="H36" s="187">
        <f t="shared" si="3"/>
        <v>4</v>
      </c>
      <c r="I36" s="188">
        <f t="shared" si="4"/>
        <v>0.26666666666666666</v>
      </c>
      <c r="J36" s="7"/>
      <c r="K36" s="7"/>
      <c r="L36" s="7"/>
      <c r="M36" s="8"/>
      <c r="N36" s="26" t="s">
        <v>57</v>
      </c>
      <c r="O36" s="27">
        <f>E19+E79</f>
        <v>165</v>
      </c>
      <c r="P36" s="28">
        <f>F19+F79</f>
        <v>80</v>
      </c>
      <c r="Q36" s="29">
        <f>P36/O36</f>
        <v>0.48484848484848486</v>
      </c>
      <c r="R36" s="28">
        <f>'[2]Individuel'!$D$75</f>
        <v>59.9</v>
      </c>
      <c r="U36" s="161"/>
    </row>
    <row r="37" spans="2:29" ht="15" customHeight="1" thickBot="1">
      <c r="B37" s="183">
        <f>'[1]POOL-joueus'!$B$80</f>
        <v>30.53150684931507</v>
      </c>
      <c r="C37" s="183" t="str">
        <f>'[1]POOL-joueus'!$C$80</f>
        <v>Bos</v>
      </c>
      <c r="D37" s="184" t="str">
        <f>'[1]POOL-joueus'!$D$80</f>
        <v>Marco Sturm</v>
      </c>
      <c r="E37" s="196">
        <v>13</v>
      </c>
      <c r="F37" s="196">
        <v>3</v>
      </c>
      <c r="G37" s="196">
        <v>6</v>
      </c>
      <c r="H37" s="197">
        <f t="shared" si="3"/>
        <v>9</v>
      </c>
      <c r="I37" s="198">
        <f t="shared" si="4"/>
        <v>0.6923076923076923</v>
      </c>
      <c r="J37" s="7"/>
      <c r="K37" s="7"/>
      <c r="L37" s="7"/>
      <c r="M37" s="8"/>
      <c r="N37" s="34" t="s">
        <v>58</v>
      </c>
      <c r="O37" s="27">
        <f>E19+E79</f>
        <v>165</v>
      </c>
      <c r="P37" s="28">
        <f>H19+H79</f>
        <v>4</v>
      </c>
      <c r="Q37" s="29">
        <f>P37/O37</f>
        <v>0.024242424242424242</v>
      </c>
      <c r="R37" s="28">
        <f>'[2]Individuel'!$I$75</f>
        <v>7.1</v>
      </c>
      <c r="U37" s="161"/>
      <c r="V37" s="161"/>
      <c r="W37" s="161"/>
      <c r="X37" s="161"/>
      <c r="Y37" s="161"/>
      <c r="Z37" s="161"/>
      <c r="AA37" s="161"/>
      <c r="AB37" s="161"/>
      <c r="AC37" s="161"/>
    </row>
    <row r="38" spans="2:21" ht="15" customHeight="1">
      <c r="B38" s="274" t="s">
        <v>26</v>
      </c>
      <c r="C38" s="275"/>
      <c r="D38" s="255"/>
      <c r="E38" s="14">
        <f>SUM(E23:E37)</f>
        <v>519</v>
      </c>
      <c r="F38" s="14">
        <f>SUM(F23:F37)</f>
        <v>183</v>
      </c>
      <c r="G38" s="14">
        <f>SUM(G23:G37)</f>
        <v>258</v>
      </c>
      <c r="H38" s="33">
        <f t="shared" si="3"/>
        <v>441</v>
      </c>
      <c r="I38" s="50">
        <f t="shared" si="4"/>
        <v>0.8497109826589595</v>
      </c>
      <c r="J38" s="7"/>
      <c r="K38" s="7"/>
      <c r="L38" s="7"/>
      <c r="M38" s="8"/>
      <c r="N38" s="26" t="s">
        <v>59</v>
      </c>
      <c r="O38" s="27">
        <f>E19+E79</f>
        <v>165</v>
      </c>
      <c r="P38" s="28">
        <f>G19+G79</f>
        <v>14</v>
      </c>
      <c r="Q38" s="29">
        <f>P38/O38</f>
        <v>0.08484848484848485</v>
      </c>
      <c r="R38" s="28">
        <f>'[2]Individuel'!$N$75</f>
        <v>13.6</v>
      </c>
      <c r="U38" s="161"/>
    </row>
    <row r="39" spans="2:21" ht="15" customHeight="1" thickBo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8"/>
      <c r="N39" s="26" t="s">
        <v>38</v>
      </c>
      <c r="O39" s="70" t="e">
        <f>(B16+B18+B23+B24+B25+B26+B27+B28+B42+B43+B44+B51+B57+B124+B126+B33+#REF!+B58+B59+B67+B68+B70+B75+B78+B96+B105+B106+B151+B107+B109+B110+B113+#REF!+B129+B131+B137+B138+B139+B157)/39</f>
        <v>#REF!</v>
      </c>
      <c r="P39" s="61"/>
      <c r="Q39" s="62"/>
      <c r="R39" s="63"/>
      <c r="U39" s="161"/>
    </row>
    <row r="40" spans="2:28" ht="15" customHeight="1" thickBot="1">
      <c r="B40" s="256" t="s">
        <v>24</v>
      </c>
      <c r="C40" s="257"/>
      <c r="D40" s="257"/>
      <c r="E40" s="257"/>
      <c r="F40" s="257"/>
      <c r="G40" s="257"/>
      <c r="H40" s="257"/>
      <c r="I40" s="258"/>
      <c r="J40" s="7"/>
      <c r="K40" s="7"/>
      <c r="L40" s="7"/>
      <c r="M40" s="8"/>
      <c r="N40" s="34" t="s">
        <v>39</v>
      </c>
      <c r="O40" s="70"/>
      <c r="P40" s="61"/>
      <c r="Q40" s="62"/>
      <c r="R40" s="63"/>
      <c r="U40" s="161"/>
      <c r="W40" s="265" t="s">
        <v>162</v>
      </c>
      <c r="X40" s="266"/>
      <c r="Y40" s="266"/>
      <c r="Z40" s="266"/>
      <c r="AA40" s="266"/>
      <c r="AB40" s="267"/>
    </row>
    <row r="41" spans="2:28" ht="15" customHeight="1" thickBot="1">
      <c r="B41" s="30" t="s">
        <v>15</v>
      </c>
      <c r="C41" s="30" t="s">
        <v>29</v>
      </c>
      <c r="D41" s="30" t="s">
        <v>17</v>
      </c>
      <c r="E41" s="31" t="s">
        <v>2</v>
      </c>
      <c r="F41" s="31" t="s">
        <v>21</v>
      </c>
      <c r="G41" s="31" t="s">
        <v>30</v>
      </c>
      <c r="H41" s="32" t="s">
        <v>6</v>
      </c>
      <c r="I41" s="31" t="s">
        <v>11</v>
      </c>
      <c r="J41" s="7"/>
      <c r="K41" s="7"/>
      <c r="L41" s="7"/>
      <c r="M41" s="8"/>
      <c r="N41" s="26" t="s">
        <v>40</v>
      </c>
      <c r="O41" s="70" t="e">
        <f>(B16+B18+B23+B24+B25+B26+B27+B28+B42+B43+B44+B51+B57+B33+#REF!+B58+B59+B67+B68+B70+B75+B78)/22</f>
        <v>#REF!</v>
      </c>
      <c r="P41" s="59"/>
      <c r="Q41" s="60"/>
      <c r="R41" s="125" t="e">
        <f>'[2]Individuel'!$N$61</f>
        <v>#REF!</v>
      </c>
      <c r="U41" s="161"/>
      <c r="W41" s="65" t="s">
        <v>8</v>
      </c>
      <c r="X41" s="66" t="s">
        <v>9</v>
      </c>
      <c r="Y41" s="66" t="s">
        <v>10</v>
      </c>
      <c r="Z41" s="65" t="s">
        <v>11</v>
      </c>
      <c r="AA41" s="65" t="s">
        <v>68</v>
      </c>
      <c r="AB41" s="65" t="s">
        <v>41</v>
      </c>
    </row>
    <row r="42" spans="2:28" ht="15" customHeight="1" thickBot="1" thickTop="1">
      <c r="B42" s="109">
        <f>'[1]POOL-joueus'!$B$29</f>
        <v>24.0986301369863</v>
      </c>
      <c r="C42" s="109" t="str">
        <f>'[1]POOL-joueus'!$C$29</f>
        <v>Phi</v>
      </c>
      <c r="D42" s="111" t="str">
        <f>'[1]POOL-joueus'!$D$29</f>
        <v>Mike Richards</v>
      </c>
      <c r="E42" s="109">
        <f>('[1]POOL-joueus'!$E$29)</f>
        <v>62</v>
      </c>
      <c r="F42" s="109">
        <f>('[1]POOL-joueus'!$F$29)</f>
        <v>26</v>
      </c>
      <c r="G42" s="109">
        <f>('[1]POOL-joueus'!$G$29)</f>
        <v>42</v>
      </c>
      <c r="H42" s="44">
        <f aca="true" t="shared" si="6" ref="H42:H53">SUM(F42:G42)</f>
        <v>68</v>
      </c>
      <c r="I42" s="45">
        <f aca="true" t="shared" si="7" ref="I42:I53">H42/E42</f>
        <v>1.096774193548387</v>
      </c>
      <c r="J42" s="7"/>
      <c r="K42" s="7"/>
      <c r="L42" s="7"/>
      <c r="M42" s="8"/>
      <c r="U42" s="161"/>
      <c r="W42" s="48" t="s">
        <v>42</v>
      </c>
      <c r="X42" s="21">
        <v>243</v>
      </c>
      <c r="Y42" s="22">
        <v>168</v>
      </c>
      <c r="Z42" s="23">
        <v>0.691358024691358</v>
      </c>
      <c r="AA42" s="22">
        <v>191.9</v>
      </c>
      <c r="AB42" s="22" t="s">
        <v>154</v>
      </c>
    </row>
    <row r="43" spans="2:28" ht="15" customHeight="1">
      <c r="B43" s="107">
        <f>'[1]POOL-joueus'!$B$21</f>
        <v>24.386301369863013</v>
      </c>
      <c r="C43" s="107" t="str">
        <f>'[1]POOL-joueus'!$C$21</f>
        <v>Car</v>
      </c>
      <c r="D43" s="124" t="str">
        <f>'[1]POOL-joueus'!$D$21</f>
        <v>Eric Staal</v>
      </c>
      <c r="E43" s="107">
        <f>('[1]POOL-joueus'!$E$21)</f>
        <v>70</v>
      </c>
      <c r="F43" s="107">
        <f>('[1]POOL-joueus'!$F$21)</f>
        <v>32</v>
      </c>
      <c r="G43" s="107">
        <f>('[1]POOL-joueus'!$G$21)</f>
        <v>28</v>
      </c>
      <c r="H43" s="44">
        <f t="shared" si="6"/>
        <v>60</v>
      </c>
      <c r="I43" s="45">
        <f t="shared" si="7"/>
        <v>0.8571428571428571</v>
      </c>
      <c r="J43" s="145"/>
      <c r="K43" s="7"/>
      <c r="L43" s="7"/>
      <c r="M43" s="8"/>
      <c r="N43" s="265" t="s">
        <v>61</v>
      </c>
      <c r="O43" s="266"/>
      <c r="P43" s="266"/>
      <c r="Q43" s="266"/>
      <c r="R43" s="266"/>
      <c r="S43" s="267"/>
      <c r="T43" s="53"/>
      <c r="U43" s="161"/>
      <c r="W43" s="49" t="s">
        <v>43</v>
      </c>
      <c r="X43" s="21">
        <v>302</v>
      </c>
      <c r="Y43" s="22">
        <v>216</v>
      </c>
      <c r="Z43" s="23">
        <v>0.7152317880794702</v>
      </c>
      <c r="AA43" s="22">
        <v>207.1</v>
      </c>
      <c r="AB43" s="28" t="s">
        <v>149</v>
      </c>
    </row>
    <row r="44" spans="2:28" ht="15" customHeight="1" thickBot="1">
      <c r="B44" s="109">
        <f>'[1]POOL-joueus'!$B$108</f>
        <v>30.506849315068493</v>
      </c>
      <c r="C44" s="109" t="str">
        <f>'[1]POOL-joueus'!$C$108</f>
        <v>Edm</v>
      </c>
      <c r="D44" s="111" t="str">
        <f>'[1]POOL-joueus'!$D$108</f>
        <v>Shawn Horcoff</v>
      </c>
      <c r="E44" s="109">
        <f>('[1]POOL-joueus'!$E$108)-5</f>
        <v>60</v>
      </c>
      <c r="F44" s="109">
        <f>('[1]POOL-joueus'!$F$108)-1</f>
        <v>14</v>
      </c>
      <c r="G44" s="109">
        <f>('[1]POOL-joueus'!$G$108)-2</f>
        <v>28</v>
      </c>
      <c r="H44" s="44">
        <f t="shared" si="6"/>
        <v>42</v>
      </c>
      <c r="I44" s="45">
        <f t="shared" si="7"/>
        <v>0.7</v>
      </c>
      <c r="J44" s="7"/>
      <c r="K44" s="7"/>
      <c r="L44" s="7"/>
      <c r="M44" s="8"/>
      <c r="N44" s="65" t="s">
        <v>8</v>
      </c>
      <c r="O44" s="66" t="s">
        <v>9</v>
      </c>
      <c r="P44" s="66" t="s">
        <v>10</v>
      </c>
      <c r="Q44" s="65" t="s">
        <v>11</v>
      </c>
      <c r="R44" s="65" t="s">
        <v>68</v>
      </c>
      <c r="S44" s="65" t="s">
        <v>41</v>
      </c>
      <c r="T44" s="164"/>
      <c r="U44" s="161"/>
      <c r="W44" s="49" t="s">
        <v>44</v>
      </c>
      <c r="X44" s="21">
        <v>307</v>
      </c>
      <c r="Y44" s="22">
        <v>218</v>
      </c>
      <c r="Z44" s="23">
        <v>0.7100977198697068</v>
      </c>
      <c r="AA44" s="22">
        <v>226.7</v>
      </c>
      <c r="AB44" s="28" t="s">
        <v>150</v>
      </c>
    </row>
    <row r="45" spans="2:28" ht="15" customHeight="1" thickTop="1">
      <c r="B45" s="107">
        <f>'[1]POOL-joueus'!$B$27</f>
        <v>21.567123287671233</v>
      </c>
      <c r="C45" s="107" t="str">
        <f>'[1]POOL-joueus'!$C$27</f>
        <v>L.A.</v>
      </c>
      <c r="D45" s="124" t="str">
        <f>'[1]POOL-joueus'!$D$27</f>
        <v>Anze Kopitar</v>
      </c>
      <c r="E45" s="107">
        <f>('[1]POOL-joueus'!$E$27)-53</f>
        <v>13</v>
      </c>
      <c r="F45" s="107">
        <f>('[1]POOL-joueus'!$F$27)-16</f>
        <v>7</v>
      </c>
      <c r="G45" s="107">
        <f>('[1]POOL-joueus'!$G$27)-27</f>
        <v>8</v>
      </c>
      <c r="H45" s="44">
        <f>SUM(F45:G45)</f>
        <v>15</v>
      </c>
      <c r="I45" s="45">
        <f>H45/E45</f>
        <v>1.1538461538461537</v>
      </c>
      <c r="J45" s="7"/>
      <c r="K45" s="7"/>
      <c r="L45" s="7"/>
      <c r="M45" s="8"/>
      <c r="N45" s="48" t="s">
        <v>233</v>
      </c>
      <c r="O45" s="21">
        <v>225</v>
      </c>
      <c r="P45" s="22">
        <v>192</v>
      </c>
      <c r="Q45" s="23">
        <f>P45/O45</f>
        <v>0.8533333333333334</v>
      </c>
      <c r="R45" s="22">
        <v>169.2</v>
      </c>
      <c r="S45" s="22" t="s">
        <v>155</v>
      </c>
      <c r="T45" s="53"/>
      <c r="U45" s="161"/>
      <c r="W45" s="49" t="s">
        <v>45</v>
      </c>
      <c r="X45" s="21">
        <v>279</v>
      </c>
      <c r="Y45" s="22">
        <v>161</v>
      </c>
      <c r="Z45" s="23">
        <v>0.5770609318996416</v>
      </c>
      <c r="AA45" s="22">
        <v>201.4</v>
      </c>
      <c r="AB45" s="28" t="s">
        <v>153</v>
      </c>
    </row>
    <row r="46" spans="2:28" ht="15" customHeight="1">
      <c r="B46" s="180">
        <f>'[1]POOL-joueus'!$B$795</f>
        <v>21.53972602739726</v>
      </c>
      <c r="C46" s="180" t="str">
        <f>'[1]POOL-joueus'!$C$795</f>
        <v>Dal</v>
      </c>
      <c r="D46" s="181" t="str">
        <f>'[1]POOL-joueus'!$D$795</f>
        <v>James Neal</v>
      </c>
      <c r="E46" s="180">
        <v>5</v>
      </c>
      <c r="F46" s="180">
        <v>2</v>
      </c>
      <c r="G46" s="180">
        <v>1</v>
      </c>
      <c r="H46" s="203">
        <f>SUM(F46:G46)</f>
        <v>3</v>
      </c>
      <c r="I46" s="188">
        <f>H46/E46</f>
        <v>0.6</v>
      </c>
      <c r="J46" s="7"/>
      <c r="K46" s="7"/>
      <c r="L46" s="7"/>
      <c r="M46" s="8"/>
      <c r="N46" s="49" t="s">
        <v>175</v>
      </c>
      <c r="O46" s="21">
        <v>293</v>
      </c>
      <c r="P46" s="22">
        <v>220</v>
      </c>
      <c r="Q46" s="23">
        <f>P46/O46</f>
        <v>0.7508532423208191</v>
      </c>
      <c r="R46" s="22">
        <v>220.7</v>
      </c>
      <c r="S46" s="28" t="s">
        <v>150</v>
      </c>
      <c r="T46" s="53"/>
      <c r="U46" s="161"/>
      <c r="W46" s="49" t="s">
        <v>46</v>
      </c>
      <c r="X46" s="21">
        <v>282</v>
      </c>
      <c r="Y46" s="22">
        <v>212</v>
      </c>
      <c r="Z46" s="23">
        <v>0.75177304964539</v>
      </c>
      <c r="AA46" s="22">
        <v>207.9</v>
      </c>
      <c r="AB46" s="28" t="s">
        <v>149</v>
      </c>
    </row>
    <row r="47" spans="2:28" ht="15" customHeight="1">
      <c r="B47" s="183">
        <f>'[1]POOL-joueus'!$B$216</f>
        <v>25.24931506849315</v>
      </c>
      <c r="C47" s="183" t="str">
        <f>'[1]POOL-joueus'!$C$216</f>
        <v>Tor</v>
      </c>
      <c r="D47" s="184" t="str">
        <f>'[1]POOL-joueus'!$D$216</f>
        <v>Matt Stajan</v>
      </c>
      <c r="E47" s="183">
        <v>14</v>
      </c>
      <c r="F47" s="183">
        <v>3</v>
      </c>
      <c r="G47" s="183">
        <v>3</v>
      </c>
      <c r="H47" s="187">
        <f>SUM(F47:G47)</f>
        <v>6</v>
      </c>
      <c r="I47" s="188">
        <f>H47/E47</f>
        <v>0.42857142857142855</v>
      </c>
      <c r="J47" s="7"/>
      <c r="K47" s="7"/>
      <c r="L47" s="7"/>
      <c r="M47" s="8"/>
      <c r="N47" s="49" t="s">
        <v>176</v>
      </c>
      <c r="O47" s="21">
        <v>284</v>
      </c>
      <c r="P47" s="22">
        <v>199</v>
      </c>
      <c r="Q47" s="23">
        <f>P47/O47</f>
        <v>0.7007042253521126</v>
      </c>
      <c r="R47" s="22">
        <v>236.9</v>
      </c>
      <c r="S47" s="28" t="s">
        <v>153</v>
      </c>
      <c r="T47" s="53"/>
      <c r="U47" s="161"/>
      <c r="W47" s="49" t="s">
        <v>47</v>
      </c>
      <c r="X47" s="21">
        <v>299</v>
      </c>
      <c r="Y47" s="22">
        <v>210</v>
      </c>
      <c r="Z47" s="23">
        <v>0.7023411371237458</v>
      </c>
      <c r="AA47" s="22">
        <v>223.7</v>
      </c>
      <c r="AB47" s="28" t="s">
        <v>151</v>
      </c>
    </row>
    <row r="48" spans="2:28" ht="15" customHeight="1">
      <c r="B48" s="180">
        <v>19.50958904109589</v>
      </c>
      <c r="C48" s="180" t="s">
        <v>1034</v>
      </c>
      <c r="D48" s="181" t="s">
        <v>1035</v>
      </c>
      <c r="E48" s="180">
        <v>3</v>
      </c>
      <c r="F48" s="180">
        <v>2</v>
      </c>
      <c r="G48" s="180">
        <v>0</v>
      </c>
      <c r="H48" s="187">
        <f>SUM(F48:G48)</f>
        <v>2</v>
      </c>
      <c r="I48" s="188">
        <f>H48/E48</f>
        <v>0.6666666666666666</v>
      </c>
      <c r="J48" s="7"/>
      <c r="K48" s="7"/>
      <c r="L48" s="7"/>
      <c r="M48" s="8"/>
      <c r="N48" s="49" t="s">
        <v>177</v>
      </c>
      <c r="O48" s="21">
        <v>271</v>
      </c>
      <c r="P48" s="22">
        <v>186</v>
      </c>
      <c r="Q48" s="23">
        <f>P48/O48</f>
        <v>0.6863468634686347</v>
      </c>
      <c r="R48" s="241">
        <v>209</v>
      </c>
      <c r="S48" s="28" t="s">
        <v>152</v>
      </c>
      <c r="T48" s="53"/>
      <c r="U48" s="161"/>
      <c r="W48" s="49" t="s">
        <v>48</v>
      </c>
      <c r="X48" s="21">
        <v>57</v>
      </c>
      <c r="Y48" s="22">
        <v>43</v>
      </c>
      <c r="Z48" s="23">
        <v>0.7543859649122807</v>
      </c>
      <c r="AA48" s="22">
        <v>42.1</v>
      </c>
      <c r="AB48" s="28" t="s">
        <v>150</v>
      </c>
    </row>
    <row r="49" spans="2:21" ht="15" customHeight="1">
      <c r="B49" s="180">
        <f>'[1]POOL-joueus'!$B$307</f>
        <v>25.843835616438355</v>
      </c>
      <c r="C49" s="180" t="str">
        <f>'[1]POOL-joueus'!$C$307</f>
        <v>Van</v>
      </c>
      <c r="D49" s="181" t="str">
        <f>'[1]POOL-joueus'!$D$307</f>
        <v>Kyle Wellwood</v>
      </c>
      <c r="E49" s="180">
        <v>6</v>
      </c>
      <c r="F49" s="180">
        <v>1</v>
      </c>
      <c r="G49" s="180">
        <v>0</v>
      </c>
      <c r="H49" s="187">
        <f>SUM(F49:G49)</f>
        <v>1</v>
      </c>
      <c r="I49" s="188">
        <f>H49/E49</f>
        <v>0.16666666666666666</v>
      </c>
      <c r="J49" s="7"/>
      <c r="K49" s="7"/>
      <c r="L49" s="7"/>
      <c r="M49" s="8"/>
      <c r="N49" s="49" t="s">
        <v>178</v>
      </c>
      <c r="O49" s="21"/>
      <c r="P49" s="22"/>
      <c r="Q49" s="23"/>
      <c r="R49" s="22"/>
      <c r="S49" s="28"/>
      <c r="T49" s="53"/>
      <c r="U49" s="161"/>
    </row>
    <row r="50" spans="2:21" ht="15" customHeight="1">
      <c r="B50" s="189">
        <f>'[1]POOL-joueus'!$B$152</f>
        <v>39.70958904109589</v>
      </c>
      <c r="C50" s="189" t="str">
        <f>'[1]POOL-joueus'!$C$152</f>
        <v>Col</v>
      </c>
      <c r="D50" s="190" t="str">
        <f>'[1]POOL-joueus'!$D$152</f>
        <v>Joe Sakic</v>
      </c>
      <c r="E50" s="189">
        <v>13</v>
      </c>
      <c r="F50" s="189">
        <v>2</v>
      </c>
      <c r="G50" s="189">
        <v>10</v>
      </c>
      <c r="H50" s="187">
        <f t="shared" si="6"/>
        <v>12</v>
      </c>
      <c r="I50" s="188">
        <f t="shared" si="7"/>
        <v>0.9230769230769231</v>
      </c>
      <c r="J50" s="7"/>
      <c r="K50" s="7"/>
      <c r="L50" s="7"/>
      <c r="M50" s="8"/>
      <c r="N50" s="49" t="s">
        <v>180</v>
      </c>
      <c r="O50" s="21"/>
      <c r="P50" s="22"/>
      <c r="Q50" s="23"/>
      <c r="R50" s="22"/>
      <c r="S50" s="28"/>
      <c r="T50" s="53"/>
      <c r="U50" s="161"/>
    </row>
    <row r="51" spans="2:21" ht="15" customHeight="1">
      <c r="B51" s="183">
        <f>'[1]POOL-joueus'!$B$76</f>
        <v>38.79178082191781</v>
      </c>
      <c r="C51" s="183" t="str">
        <f>'[1]POOL-joueus'!$C$76</f>
        <v>Dal</v>
      </c>
      <c r="D51" s="184" t="str">
        <f>'[1]POOL-joueus'!$D$76</f>
        <v>Mike Modano</v>
      </c>
      <c r="E51" s="183">
        <v>24</v>
      </c>
      <c r="F51" s="183">
        <v>7</v>
      </c>
      <c r="G51" s="183">
        <v>5</v>
      </c>
      <c r="H51" s="187">
        <f t="shared" si="6"/>
        <v>12</v>
      </c>
      <c r="I51" s="188">
        <f t="shared" si="7"/>
        <v>0.5</v>
      </c>
      <c r="J51" s="7"/>
      <c r="K51" s="7"/>
      <c r="L51" s="7"/>
      <c r="M51" s="8"/>
      <c r="N51" s="49" t="s">
        <v>179</v>
      </c>
      <c r="O51" s="21"/>
      <c r="P51" s="22"/>
      <c r="Q51" s="23"/>
      <c r="R51" s="22"/>
      <c r="S51" s="28"/>
      <c r="T51" s="53"/>
      <c r="U51" s="161"/>
    </row>
    <row r="52" spans="2:21" ht="15" customHeight="1" thickBot="1">
      <c r="B52" s="107"/>
      <c r="C52" s="107"/>
      <c r="D52" s="124"/>
      <c r="E52" s="166"/>
      <c r="F52" s="166"/>
      <c r="G52" s="166"/>
      <c r="H52" s="37">
        <f t="shared" si="6"/>
        <v>0</v>
      </c>
      <c r="I52" s="46" t="e">
        <f t="shared" si="7"/>
        <v>#DIV/0!</v>
      </c>
      <c r="J52" s="7"/>
      <c r="K52" s="7"/>
      <c r="L52" s="7"/>
      <c r="M52" s="8"/>
      <c r="N52" s="133"/>
      <c r="O52" s="53"/>
      <c r="P52" s="53"/>
      <c r="Q52" s="77"/>
      <c r="R52" s="53"/>
      <c r="S52" s="53"/>
      <c r="U52" s="161"/>
    </row>
    <row r="53" spans="2:29" ht="15" customHeight="1">
      <c r="B53" s="274" t="s">
        <v>26</v>
      </c>
      <c r="C53" s="275"/>
      <c r="D53" s="255"/>
      <c r="E53" s="14">
        <f>SUM(E42:E52)</f>
        <v>270</v>
      </c>
      <c r="F53" s="14">
        <f>SUM(F42:F52)</f>
        <v>96</v>
      </c>
      <c r="G53" s="14">
        <f>SUM(G42:G52)</f>
        <v>125</v>
      </c>
      <c r="H53" s="33">
        <f t="shared" si="6"/>
        <v>221</v>
      </c>
      <c r="I53" s="50">
        <f t="shared" si="7"/>
        <v>0.8185185185185185</v>
      </c>
      <c r="J53" s="7"/>
      <c r="K53" s="7"/>
      <c r="L53" s="7"/>
      <c r="M53" s="8"/>
      <c r="U53" s="161"/>
      <c r="V53" s="161"/>
      <c r="W53" s="161"/>
      <c r="X53" s="161"/>
      <c r="Y53" s="161"/>
      <c r="Z53" s="161"/>
      <c r="AA53" s="161"/>
      <c r="AB53" s="161"/>
      <c r="AC53" s="161"/>
    </row>
    <row r="54" spans="2:21" ht="1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8"/>
      <c r="N54" s="1" t="s">
        <v>69</v>
      </c>
      <c r="U54" s="161"/>
    </row>
    <row r="55" spans="2:21" ht="15" customHeight="1" thickBot="1">
      <c r="B55" s="256" t="s">
        <v>25</v>
      </c>
      <c r="C55" s="257"/>
      <c r="D55" s="257"/>
      <c r="E55" s="257"/>
      <c r="F55" s="257"/>
      <c r="G55" s="257"/>
      <c r="H55" s="257"/>
      <c r="I55" s="258"/>
      <c r="J55" s="7"/>
      <c r="K55" s="7"/>
      <c r="L55" s="7"/>
      <c r="M55" s="8"/>
      <c r="N55" s="1" t="s">
        <v>67</v>
      </c>
      <c r="U55" s="161"/>
    </row>
    <row r="56" spans="2:29" ht="15" customHeight="1" thickBot="1">
      <c r="B56" s="30" t="s">
        <v>15</v>
      </c>
      <c r="C56" s="30" t="s">
        <v>29</v>
      </c>
      <c r="D56" s="30" t="s">
        <v>17</v>
      </c>
      <c r="E56" s="31" t="s">
        <v>2</v>
      </c>
      <c r="F56" s="31" t="s">
        <v>21</v>
      </c>
      <c r="G56" s="31" t="s">
        <v>30</v>
      </c>
      <c r="H56" s="32" t="s">
        <v>6</v>
      </c>
      <c r="I56" s="31" t="s">
        <v>11</v>
      </c>
      <c r="J56" s="7"/>
      <c r="K56" s="7"/>
      <c r="L56" s="7"/>
      <c r="M56" s="2"/>
      <c r="U56" s="161"/>
      <c r="W56" s="250" t="s">
        <v>119</v>
      </c>
      <c r="X56" s="250"/>
      <c r="Y56" s="250"/>
      <c r="Z56" s="250"/>
      <c r="AA56" s="250"/>
      <c r="AB56" s="250"/>
      <c r="AC56" s="250"/>
    </row>
    <row r="57" spans="2:21" ht="15" customHeight="1" thickTop="1">
      <c r="B57" s="108">
        <f>'[1]POOL-joueus'!$B$223</f>
        <v>27.98904109589041</v>
      </c>
      <c r="C57" s="108" t="str">
        <f>'[1]POOL-joueus'!$C$223</f>
        <v>Atl</v>
      </c>
      <c r="D57" s="110" t="str">
        <f>'[1]POOL-joueus'!$D$223</f>
        <v>Ron Hainsey</v>
      </c>
      <c r="E57" s="108">
        <f>'[1]POOL-joueus'!$E$223</f>
        <v>68</v>
      </c>
      <c r="F57" s="108">
        <f>'[1]POOL-joueus'!$F$223</f>
        <v>5</v>
      </c>
      <c r="G57" s="108">
        <f>'[1]POOL-joueus'!$G$223</f>
        <v>29</v>
      </c>
      <c r="H57" s="44">
        <f aca="true" t="shared" si="8" ref="H57:H71">SUM(F57:G57)</f>
        <v>34</v>
      </c>
      <c r="I57" s="45">
        <f aca="true" t="shared" si="9" ref="I57:I71">H57/E57</f>
        <v>0.5</v>
      </c>
      <c r="J57" s="7"/>
      <c r="K57" s="7"/>
      <c r="L57" s="7"/>
      <c r="M57" s="2"/>
      <c r="U57" s="161"/>
    </row>
    <row r="58" spans="2:29" ht="15" customHeight="1">
      <c r="B58" s="109">
        <f>'[1]POOL-joueus'!$B$164</f>
        <v>30.545205479452054</v>
      </c>
      <c r="C58" s="109" t="str">
        <f>'[1]POOL-joueus'!$C$164</f>
        <v>Nyr</v>
      </c>
      <c r="D58" s="111" t="str">
        <f>'[1]POOL-joueus'!$D$164</f>
        <v>Michal Rozsival</v>
      </c>
      <c r="E58" s="109">
        <f>('[1]POOL-joueus'!$E$164)-1</f>
        <v>66</v>
      </c>
      <c r="F58" s="109">
        <f>('[1]POOL-joueus'!$F$164)-1</f>
        <v>7</v>
      </c>
      <c r="G58" s="109">
        <f>('[1]POOL-joueus'!$G$164)</f>
        <v>21</v>
      </c>
      <c r="H58" s="44">
        <f t="shared" si="8"/>
        <v>28</v>
      </c>
      <c r="I58" s="45">
        <f t="shared" si="9"/>
        <v>0.42424242424242425</v>
      </c>
      <c r="J58" s="7"/>
      <c r="K58" s="7"/>
      <c r="L58" s="7"/>
      <c r="M58" s="2"/>
      <c r="U58" s="161"/>
      <c r="W58" s="322" t="s">
        <v>91</v>
      </c>
      <c r="X58" s="322"/>
      <c r="Y58" s="322"/>
      <c r="AA58" s="322" t="s">
        <v>91</v>
      </c>
      <c r="AB58" s="322"/>
      <c r="AC58" s="322"/>
    </row>
    <row r="59" spans="2:29" ht="15" customHeight="1">
      <c r="B59" s="107">
        <f>'[1]POOL-joueus'!$B$165</f>
        <v>31.77260273972603</v>
      </c>
      <c r="C59" s="107" t="str">
        <f>'[1]POOL-joueus'!$C$165</f>
        <v>Nyr</v>
      </c>
      <c r="D59" s="124" t="str">
        <f>'[1]POOL-joueus'!$D$165</f>
        <v>Wade Redden</v>
      </c>
      <c r="E59" s="107">
        <f>('[1]POOL-joueus'!$E$165)-3</f>
        <v>64</v>
      </c>
      <c r="F59" s="107">
        <f>('[1]POOL-joueus'!$F$165)</f>
        <v>3</v>
      </c>
      <c r="G59" s="107">
        <f>('[1]POOL-joueus'!$G$165)-3</f>
        <v>16</v>
      </c>
      <c r="H59" s="44">
        <f t="shared" si="8"/>
        <v>19</v>
      </c>
      <c r="I59" s="45">
        <f t="shared" si="9"/>
        <v>0.296875</v>
      </c>
      <c r="J59" s="7"/>
      <c r="K59" s="7"/>
      <c r="L59" s="7"/>
      <c r="M59" s="2"/>
      <c r="U59" s="161"/>
      <c r="W59" s="47" t="s">
        <v>90</v>
      </c>
      <c r="X59" s="47" t="s">
        <v>92</v>
      </c>
      <c r="Y59" s="47" t="s">
        <v>3</v>
      </c>
      <c r="AA59" s="47" t="s">
        <v>105</v>
      </c>
      <c r="AB59" s="47" t="s">
        <v>92</v>
      </c>
      <c r="AC59" s="47" t="s">
        <v>3</v>
      </c>
    </row>
    <row r="60" spans="2:29" ht="15" customHeight="1">
      <c r="B60" s="185">
        <f>'[1]POOL-joueus'!$B$268</f>
        <v>35.50410958904109</v>
      </c>
      <c r="C60" s="185" t="str">
        <f>'[1]POOL-joueus'!$C$268</f>
        <v>Car</v>
      </c>
      <c r="D60" s="186" t="str">
        <f>'[1]POOL-joueus'!$D$268</f>
        <v>Joni Pitkanen</v>
      </c>
      <c r="E60" s="185">
        <v>57</v>
      </c>
      <c r="F60" s="185">
        <v>6</v>
      </c>
      <c r="G60" s="185">
        <v>21</v>
      </c>
      <c r="H60" s="187">
        <f t="shared" si="8"/>
        <v>27</v>
      </c>
      <c r="I60" s="188">
        <f t="shared" si="9"/>
        <v>0.47368421052631576</v>
      </c>
      <c r="J60" s="7"/>
      <c r="K60" s="7"/>
      <c r="L60" s="7"/>
      <c r="M60" s="2"/>
      <c r="U60" s="161"/>
      <c r="W60" s="95" t="s">
        <v>97</v>
      </c>
      <c r="X60" s="96" t="s">
        <v>113</v>
      </c>
      <c r="Y60" s="96">
        <v>1299.1</v>
      </c>
      <c r="AA60" s="95" t="s">
        <v>107</v>
      </c>
      <c r="AB60" s="95" t="s">
        <v>93</v>
      </c>
      <c r="AC60" s="95">
        <v>182</v>
      </c>
    </row>
    <row r="61" spans="2:29" ht="12.75">
      <c r="B61" s="107">
        <f>'[1]POOL-joueus'!$B$226</f>
        <v>25.676712328767124</v>
      </c>
      <c r="C61" s="107" t="str">
        <f>'[1]POOL-joueus'!$C$226</f>
        <v>Chi</v>
      </c>
      <c r="D61" s="124" t="str">
        <f>'[1]POOL-joueus'!$D$226</f>
        <v>Duncan Keith</v>
      </c>
      <c r="E61" s="107">
        <f>((('[1]POOL-joueus'!$E$226)-5)-27)</f>
        <v>29</v>
      </c>
      <c r="F61" s="107">
        <f>((('[1]POOL-joueus'!$F$226)-2)-2)</f>
        <v>4</v>
      </c>
      <c r="G61" s="107">
        <f>((('[1]POOL-joueus'!$G$226)-6)-7)</f>
        <v>13</v>
      </c>
      <c r="H61" s="44">
        <f>SUM(F61:G61)</f>
        <v>17</v>
      </c>
      <c r="I61" s="45">
        <f>H61/E61</f>
        <v>0.5862068965517241</v>
      </c>
      <c r="J61" s="7"/>
      <c r="K61" s="7"/>
      <c r="L61" s="7"/>
      <c r="M61" s="2"/>
      <c r="U61" s="161"/>
      <c r="W61" s="97" t="s">
        <v>98</v>
      </c>
      <c r="X61" s="98" t="s">
        <v>95</v>
      </c>
      <c r="Y61" s="98">
        <v>1439.5</v>
      </c>
      <c r="AA61" s="95" t="s">
        <v>108</v>
      </c>
      <c r="AB61" s="315" t="s">
        <v>118</v>
      </c>
      <c r="AC61" s="328"/>
    </row>
    <row r="62" spans="2:29" ht="15" customHeight="1">
      <c r="B62" s="107">
        <f>'[1]POOL-joueus'!$B$156</f>
        <v>31.931506849315067</v>
      </c>
      <c r="C62" s="107" t="str">
        <f>'[1]POOL-joueus'!$C$156</f>
        <v>Tor</v>
      </c>
      <c r="D62" s="124" t="str">
        <f>'[1]POOL-joueus'!$D$156</f>
        <v>Pavel Kubina</v>
      </c>
      <c r="E62" s="107">
        <f>('[1]POOL-joueus'!$E$156)-55</f>
        <v>14</v>
      </c>
      <c r="F62" s="107">
        <f>('[1]POOL-joueus'!$F$156)-8</f>
        <v>5</v>
      </c>
      <c r="G62" s="107">
        <f>('[1]POOL-joueus'!$G$156)-19</f>
        <v>6</v>
      </c>
      <c r="H62" s="44">
        <f>SUM(F62:G62)</f>
        <v>11</v>
      </c>
      <c r="I62" s="45">
        <f>H62/E62</f>
        <v>0.7857142857142857</v>
      </c>
      <c r="J62" s="7"/>
      <c r="K62" s="7"/>
      <c r="L62" s="7"/>
      <c r="M62" s="2"/>
      <c r="U62" s="161"/>
      <c r="W62" s="95" t="s">
        <v>102</v>
      </c>
      <c r="X62" s="96" t="s">
        <v>114</v>
      </c>
      <c r="Y62" s="96">
        <v>1210.1</v>
      </c>
      <c r="AA62" s="95" t="s">
        <v>109</v>
      </c>
      <c r="AB62" s="95" t="s">
        <v>114</v>
      </c>
      <c r="AC62" s="95">
        <v>76</v>
      </c>
    </row>
    <row r="63" spans="2:29" ht="15" customHeight="1">
      <c r="B63" s="109">
        <f>'[1]POOL-joueus'!$B$568</f>
        <v>25.383561643835616</v>
      </c>
      <c r="C63" s="109" t="str">
        <f>'[1]POOL-joueus'!$C$568</f>
        <v>Fla</v>
      </c>
      <c r="D63" s="111" t="str">
        <f>'[1]POOL-joueus'!$D$568</f>
        <v>Steve Eminger</v>
      </c>
      <c r="E63" s="109">
        <f>(('[1]POOL-joueus'!$E$568)-63)-2</f>
        <v>0</v>
      </c>
      <c r="F63" s="109">
        <f>(('[1]POOL-joueus'!$F$568)-4)-0</f>
        <v>0</v>
      </c>
      <c r="G63" s="109">
        <f>(('[1]POOL-joueus'!$G$568)-21)-0</f>
        <v>0</v>
      </c>
      <c r="H63" s="44">
        <f>SUM(F63:G63)</f>
        <v>0</v>
      </c>
      <c r="I63" s="45" t="e">
        <f>H63/E63</f>
        <v>#DIV/0!</v>
      </c>
      <c r="J63" s="7"/>
      <c r="K63" s="7"/>
      <c r="L63" s="7"/>
      <c r="M63" s="2"/>
      <c r="U63" s="161"/>
      <c r="W63" s="95" t="s">
        <v>99</v>
      </c>
      <c r="X63" s="96" t="s">
        <v>115</v>
      </c>
      <c r="Y63" s="96">
        <v>1227.7</v>
      </c>
      <c r="AA63" s="95" t="s">
        <v>110</v>
      </c>
      <c r="AB63" s="315" t="s">
        <v>118</v>
      </c>
      <c r="AC63" s="328"/>
    </row>
    <row r="64" spans="1:29" ht="15" customHeight="1">
      <c r="A64" s="1" t="s">
        <v>237</v>
      </c>
      <c r="B64" s="180">
        <f>'[1]POOL-joueus'!$B$805</f>
        <v>20.482191780821918</v>
      </c>
      <c r="C64" s="180" t="str">
        <f>'[1]POOL-joueus'!$C$805</f>
        <v>Mtl</v>
      </c>
      <c r="D64" s="181" t="str">
        <f>'[1]POOL-joueus'!$D$805</f>
        <v>Yannick Weber</v>
      </c>
      <c r="E64" s="180">
        <v>1</v>
      </c>
      <c r="F64" s="180">
        <v>0</v>
      </c>
      <c r="G64" s="180">
        <v>0</v>
      </c>
      <c r="H64" s="187">
        <f>SUM(F64:G64)</f>
        <v>0</v>
      </c>
      <c r="I64" s="188">
        <f>H64/E64</f>
        <v>0</v>
      </c>
      <c r="J64" s="7"/>
      <c r="K64" s="7"/>
      <c r="L64" s="7"/>
      <c r="M64" s="82"/>
      <c r="U64" s="162"/>
      <c r="W64" s="95" t="s">
        <v>100</v>
      </c>
      <c r="X64" s="96" t="s">
        <v>116</v>
      </c>
      <c r="Y64" s="96">
        <v>1536.8</v>
      </c>
      <c r="AA64" s="95" t="s">
        <v>111</v>
      </c>
      <c r="AB64" s="96" t="s">
        <v>103</v>
      </c>
      <c r="AC64" s="96" t="s">
        <v>120</v>
      </c>
    </row>
    <row r="65" spans="1:25" ht="15" customHeight="1">
      <c r="A65" s="1" t="s">
        <v>237</v>
      </c>
      <c r="B65" s="180">
        <f>'[1]POOL-joueus'!$B$534</f>
        <v>19.273972602739725</v>
      </c>
      <c r="C65" s="180" t="str">
        <f>'[1]POOL-joueus'!$C$534</f>
        <v>L.A.</v>
      </c>
      <c r="D65" s="181" t="str">
        <f>'[1]POOL-joueus'!$D$534</f>
        <v>Drew Doughty</v>
      </c>
      <c r="E65" s="180">
        <v>15</v>
      </c>
      <c r="F65" s="180">
        <v>0</v>
      </c>
      <c r="G65" s="180">
        <v>3</v>
      </c>
      <c r="H65" s="187">
        <f>SUM(F65:G65)</f>
        <v>3</v>
      </c>
      <c r="I65" s="188">
        <f>H65/E65</f>
        <v>0.2</v>
      </c>
      <c r="J65" s="7"/>
      <c r="K65" s="7"/>
      <c r="L65" s="7"/>
      <c r="M65" s="2"/>
      <c r="U65" s="162"/>
      <c r="W65" s="95" t="s">
        <v>101</v>
      </c>
      <c r="X65" s="96" t="s">
        <v>93</v>
      </c>
      <c r="Y65" s="96" t="s">
        <v>117</v>
      </c>
    </row>
    <row r="66" spans="2:21" ht="15" customHeight="1">
      <c r="B66" s="180">
        <f>'[1]POOL-joueus'!$B$198</f>
        <v>34.52054794520548</v>
      </c>
      <c r="C66" s="180" t="str">
        <f>'[1]POOL-joueus'!$C$198</f>
        <v>Buf</v>
      </c>
      <c r="D66" s="181" t="str">
        <f>'[1]POOL-joueus'!$D$198</f>
        <v>Craig Rivet</v>
      </c>
      <c r="E66" s="180">
        <v>17</v>
      </c>
      <c r="F66" s="180">
        <v>0</v>
      </c>
      <c r="G66" s="180">
        <v>5</v>
      </c>
      <c r="H66" s="187">
        <f t="shared" si="8"/>
        <v>5</v>
      </c>
      <c r="I66" s="188">
        <f t="shared" si="9"/>
        <v>0.29411764705882354</v>
      </c>
      <c r="J66" s="7"/>
      <c r="K66" s="7"/>
      <c r="L66" s="7"/>
      <c r="M66" s="2"/>
      <c r="U66" s="161"/>
    </row>
    <row r="67" spans="2:21" ht="15" customHeight="1">
      <c r="B67" s="183">
        <f>'[1]POOL-joueus'!$B$311</f>
        <v>26.312328767123287</v>
      </c>
      <c r="C67" s="183" t="str">
        <f>'[1]POOL-joueus'!$C$311</f>
        <v>Fla</v>
      </c>
      <c r="D67" s="184" t="str">
        <f>'[1]POOL-joueus'!$D$311</f>
        <v>Keith Ballard</v>
      </c>
      <c r="E67" s="183">
        <v>29</v>
      </c>
      <c r="F67" s="183">
        <v>3</v>
      </c>
      <c r="G67" s="183">
        <v>6</v>
      </c>
      <c r="H67" s="187">
        <f>SUM(F67:G67)</f>
        <v>9</v>
      </c>
      <c r="I67" s="188">
        <f>H67/E67</f>
        <v>0.3103448275862069</v>
      </c>
      <c r="J67" s="7"/>
      <c r="K67" s="7"/>
      <c r="L67" s="7"/>
      <c r="M67" s="2"/>
      <c r="U67" s="161"/>
    </row>
    <row r="68" spans="2:21" ht="15" customHeight="1">
      <c r="B68" s="183">
        <f>'[1]POOL-joueus'!$B$261</f>
        <v>33.013698630136986</v>
      </c>
      <c r="C68" s="183" t="str">
        <f>'[1]POOL-joueus'!$C$261</f>
        <v>Min</v>
      </c>
      <c r="D68" s="184" t="str">
        <f>'[1]POOL-joueus'!$D$261</f>
        <v>Kim Johnsson</v>
      </c>
      <c r="E68" s="189">
        <v>16</v>
      </c>
      <c r="F68" s="189">
        <v>1</v>
      </c>
      <c r="G68" s="189">
        <v>3</v>
      </c>
      <c r="H68" s="187">
        <f t="shared" si="8"/>
        <v>4</v>
      </c>
      <c r="I68" s="188">
        <f t="shared" si="9"/>
        <v>0.25</v>
      </c>
      <c r="J68" s="7"/>
      <c r="K68" s="7"/>
      <c r="L68" s="7"/>
      <c r="M68" s="2"/>
      <c r="U68" s="161"/>
    </row>
    <row r="69" spans="2:21" ht="12.75">
      <c r="B69" s="189">
        <f>'[1]POOL-joueus'!$B$285</f>
        <v>32.52876712328767</v>
      </c>
      <c r="C69" s="189" t="str">
        <f>'[1]POOL-joueus'!$C$285</f>
        <v>Van</v>
      </c>
      <c r="D69" s="190" t="str">
        <f>'[1]POOL-joueus'!$D$285</f>
        <v>Mattias Ohlund</v>
      </c>
      <c r="E69" s="189">
        <v>20</v>
      </c>
      <c r="F69" s="189">
        <v>1</v>
      </c>
      <c r="G69" s="189">
        <v>3</v>
      </c>
      <c r="H69" s="187">
        <f t="shared" si="8"/>
        <v>4</v>
      </c>
      <c r="I69" s="188">
        <f t="shared" si="9"/>
        <v>0.2</v>
      </c>
      <c r="J69" s="7"/>
      <c r="K69" s="7"/>
      <c r="L69" s="7"/>
      <c r="M69" s="2"/>
      <c r="U69" s="161"/>
    </row>
    <row r="70" spans="2:21" ht="15.75" customHeight="1" thickBot="1">
      <c r="B70" s="180">
        <f>'[1]POOL-joueus'!$B$393</f>
        <v>22.17808219178082</v>
      </c>
      <c r="C70" s="180" t="str">
        <f>'[1]POOL-joueus'!$C$393</f>
        <v>L.A.</v>
      </c>
      <c r="D70" s="181" t="str">
        <f>'[1]POOL-joueus'!$D$393</f>
        <v>Jack Johnson</v>
      </c>
      <c r="E70" s="196">
        <v>2</v>
      </c>
      <c r="F70" s="196">
        <v>0</v>
      </c>
      <c r="G70" s="196">
        <v>0</v>
      </c>
      <c r="H70" s="197">
        <f t="shared" si="8"/>
        <v>0</v>
      </c>
      <c r="I70" s="198">
        <f t="shared" si="9"/>
        <v>0</v>
      </c>
      <c r="J70" s="7"/>
      <c r="K70" s="7"/>
      <c r="L70" s="7"/>
      <c r="M70" s="2"/>
      <c r="U70" s="161"/>
    </row>
    <row r="71" spans="2:21" ht="15" customHeight="1">
      <c r="B71" s="274" t="s">
        <v>26</v>
      </c>
      <c r="C71" s="275"/>
      <c r="D71" s="255"/>
      <c r="E71" s="14">
        <f>SUM(E57:E70)</f>
        <v>398</v>
      </c>
      <c r="F71" s="14">
        <f>SUM(F57:F70)</f>
        <v>35</v>
      </c>
      <c r="G71" s="14">
        <f>SUM(G57:G70)</f>
        <v>126</v>
      </c>
      <c r="H71" s="33">
        <f t="shared" si="8"/>
        <v>161</v>
      </c>
      <c r="I71" s="50">
        <f t="shared" si="9"/>
        <v>0.4045226130653266</v>
      </c>
      <c r="J71" s="7"/>
      <c r="K71" s="7"/>
      <c r="L71" s="7"/>
      <c r="M71" s="2"/>
      <c r="U71" s="161"/>
    </row>
    <row r="72" spans="2:21" ht="15" customHeight="1">
      <c r="B72" s="146"/>
      <c r="C72" s="146"/>
      <c r="D72" s="146"/>
      <c r="E72" s="5"/>
      <c r="F72" s="5"/>
      <c r="G72" s="5"/>
      <c r="H72" s="5"/>
      <c r="I72" s="147"/>
      <c r="J72" s="7"/>
      <c r="K72" s="7"/>
      <c r="L72" s="7"/>
      <c r="M72" s="2"/>
      <c r="U72" s="161"/>
    </row>
    <row r="73" spans="2:21" ht="15" customHeight="1" thickBot="1">
      <c r="B73" s="319" t="s">
        <v>141</v>
      </c>
      <c r="C73" s="320"/>
      <c r="D73" s="320"/>
      <c r="E73" s="320"/>
      <c r="F73" s="320"/>
      <c r="G73" s="320"/>
      <c r="H73" s="320"/>
      <c r="I73" s="320"/>
      <c r="J73" s="320"/>
      <c r="K73" s="321"/>
      <c r="L73" s="7"/>
      <c r="M73" s="2"/>
      <c r="U73" s="161"/>
    </row>
    <row r="74" spans="2:21" ht="15" customHeight="1" thickBot="1">
      <c r="B74" s="30" t="s">
        <v>15</v>
      </c>
      <c r="C74" s="30" t="s">
        <v>16</v>
      </c>
      <c r="D74" s="30" t="s">
        <v>17</v>
      </c>
      <c r="E74" s="31" t="s">
        <v>2</v>
      </c>
      <c r="F74" s="31" t="s">
        <v>18</v>
      </c>
      <c r="G74" s="31" t="s">
        <v>19</v>
      </c>
      <c r="H74" s="31" t="s">
        <v>20</v>
      </c>
      <c r="I74" s="31" t="s">
        <v>21</v>
      </c>
      <c r="J74" s="31" t="s">
        <v>22</v>
      </c>
      <c r="K74" s="32" t="s">
        <v>6</v>
      </c>
      <c r="L74" s="7"/>
      <c r="M74" s="2"/>
      <c r="U74" s="161"/>
    </row>
    <row r="75" spans="2:21" ht="15" customHeight="1" thickTop="1">
      <c r="B75" s="216">
        <f>'[1]Pool-gardien'!$B$72</f>
        <v>25.15890410958904</v>
      </c>
      <c r="C75" s="216" t="str">
        <f>'[1]Pool-gardien'!$C$72</f>
        <v>Dal</v>
      </c>
      <c r="D75" s="234" t="str">
        <f>'[1]Pool-gardien'!$D$72</f>
        <v>Tobia Stephan</v>
      </c>
      <c r="E75" s="216">
        <v>4</v>
      </c>
      <c r="F75" s="216">
        <v>1</v>
      </c>
      <c r="G75" s="216">
        <v>0</v>
      </c>
      <c r="H75" s="216">
        <v>0</v>
      </c>
      <c r="I75" s="216">
        <v>0</v>
      </c>
      <c r="J75" s="216">
        <v>1</v>
      </c>
      <c r="K75" s="187">
        <f>(F75*2)+G75+(H75*4)+(I75*10)+J75</f>
        <v>3</v>
      </c>
      <c r="L75" s="7"/>
      <c r="M75" s="2"/>
      <c r="U75" s="161"/>
    </row>
    <row r="76" spans="2:21" ht="15" customHeight="1">
      <c r="B76" s="108">
        <f>'[1]Pool-gardien'!$B$131</f>
        <v>23.942465753424656</v>
      </c>
      <c r="C76" s="108" t="str">
        <f>'[1]Pool-gardien'!$C$131</f>
        <v>Ott</v>
      </c>
      <c r="D76" s="236" t="str">
        <f>'[1]Pool-gardien'!$D$131</f>
        <v>Brian Elliott</v>
      </c>
      <c r="E76" s="108">
        <f>('[1]Pool-gardien'!$E$131)-3</f>
        <v>19</v>
      </c>
      <c r="F76" s="108">
        <f>('[1]Pool-gardien'!$F$131)-2</f>
        <v>9</v>
      </c>
      <c r="G76" s="108">
        <f>('[1]Pool-gardien'!$G$131)-0</f>
        <v>3</v>
      </c>
      <c r="H76" s="108">
        <f>('[1]Pool-gardien'!$H$131)-0</f>
        <v>0</v>
      </c>
      <c r="I76" s="108">
        <f>('[1]Pool-gardien'!$I$131)-0</f>
        <v>0</v>
      </c>
      <c r="J76" s="108">
        <f>('[1]Pool-gardien'!$J$131)-0</f>
        <v>0</v>
      </c>
      <c r="K76" s="44">
        <f>(F76*2)+G76+(H76*4)+(I76*10)+J76</f>
        <v>21</v>
      </c>
      <c r="L76" s="7"/>
      <c r="M76" s="2"/>
      <c r="U76" s="161"/>
    </row>
    <row r="77" spans="2:21" ht="15" customHeight="1">
      <c r="B77" s="108">
        <f>'[1]Pool-gardien'!$B$130</f>
        <v>23.156164383561645</v>
      </c>
      <c r="C77" s="108" t="str">
        <f>'[1]Pool-gardien'!$C$130</f>
        <v>L.A.</v>
      </c>
      <c r="D77" s="236" t="str">
        <f>'[1]Pool-gardien'!$D$130</f>
        <v>Joanthan Quick</v>
      </c>
      <c r="E77" s="237">
        <f>('[1]Pool-gardien'!$E$130)-6</f>
        <v>25</v>
      </c>
      <c r="F77" s="237">
        <f>('[1]Pool-gardien'!$F$130)-2</f>
        <v>14</v>
      </c>
      <c r="G77" s="237">
        <f>('[1]Pool-gardien'!$G$130)-0</f>
        <v>1</v>
      </c>
      <c r="H77" s="237">
        <f>('[1]Pool-gardien'!$H$130)-2</f>
        <v>1</v>
      </c>
      <c r="I77" s="237">
        <f>('[1]Pool-gardien'!$I$130)-0</f>
        <v>0</v>
      </c>
      <c r="J77" s="237">
        <f>('[1]Pool-gardien'!$J$130)-0</f>
        <v>1</v>
      </c>
      <c r="K77" s="44">
        <f>(F77*2)+G77+(H77*4)+(I77*10)+J77</f>
        <v>34</v>
      </c>
      <c r="L77" s="7"/>
      <c r="M77" s="2"/>
      <c r="U77" s="161"/>
    </row>
    <row r="78" spans="2:21" ht="15" customHeight="1" thickBot="1">
      <c r="B78" s="183">
        <f>'[1]Pool-gardien'!$B$59</f>
        <v>21.54794520547945</v>
      </c>
      <c r="C78" s="183" t="str">
        <f>'[1]Pool-gardien'!$C$59</f>
        <v>Atl</v>
      </c>
      <c r="D78" s="184" t="str">
        <f>'[1]Pool-gardien'!$D$59</f>
        <v>Ondrej Pavelec</v>
      </c>
      <c r="E78" s="196">
        <v>9</v>
      </c>
      <c r="F78" s="196">
        <v>2</v>
      </c>
      <c r="G78" s="196">
        <v>0</v>
      </c>
      <c r="H78" s="196">
        <v>0</v>
      </c>
      <c r="I78" s="196">
        <v>0</v>
      </c>
      <c r="J78" s="196">
        <v>0</v>
      </c>
      <c r="K78" s="211">
        <f>(F78*2)+G78+(H78*4)+(I78*10)+J78</f>
        <v>4</v>
      </c>
      <c r="L78" s="7"/>
      <c r="M78" s="2"/>
      <c r="U78" s="162"/>
    </row>
    <row r="79" spans="2:21" ht="15" customHeight="1">
      <c r="B79" s="274" t="s">
        <v>26</v>
      </c>
      <c r="C79" s="275"/>
      <c r="D79" s="255"/>
      <c r="E79" s="14">
        <f aca="true" t="shared" si="10" ref="E79:J79">SUM(E74:E78)</f>
        <v>57</v>
      </c>
      <c r="F79" s="14">
        <f t="shared" si="10"/>
        <v>26</v>
      </c>
      <c r="G79" s="14">
        <f t="shared" si="10"/>
        <v>4</v>
      </c>
      <c r="H79" s="14">
        <f t="shared" si="10"/>
        <v>1</v>
      </c>
      <c r="I79" s="14">
        <f t="shared" si="10"/>
        <v>0</v>
      </c>
      <c r="J79" s="14">
        <f t="shared" si="10"/>
        <v>2</v>
      </c>
      <c r="K79" s="33">
        <f>(F79*2)+G79+(H79*4)+(I79*10)+J79</f>
        <v>62</v>
      </c>
      <c r="L79" s="7"/>
      <c r="M79" s="2"/>
      <c r="U79" s="163"/>
    </row>
    <row r="80" spans="2:21" ht="15" customHeight="1" thickBot="1">
      <c r="B80" s="256" t="s">
        <v>27</v>
      </c>
      <c r="C80" s="257"/>
      <c r="D80" s="257"/>
      <c r="E80" s="257"/>
      <c r="F80" s="257"/>
      <c r="G80" s="257"/>
      <c r="H80" s="257"/>
      <c r="I80" s="258"/>
      <c r="J80" s="7"/>
      <c r="K80" s="7"/>
      <c r="L80" s="7"/>
      <c r="M80" s="2"/>
      <c r="U80" s="161"/>
    </row>
    <row r="81" spans="1:21" ht="15" customHeight="1" thickBot="1">
      <c r="A81" s="30" t="s">
        <v>143</v>
      </c>
      <c r="B81" s="30" t="s">
        <v>15</v>
      </c>
      <c r="C81" s="30" t="s">
        <v>29</v>
      </c>
      <c r="D81" s="30" t="s">
        <v>17</v>
      </c>
      <c r="E81" s="31" t="s">
        <v>2</v>
      </c>
      <c r="F81" s="31" t="s">
        <v>21</v>
      </c>
      <c r="G81" s="31" t="s">
        <v>30</v>
      </c>
      <c r="H81" s="32" t="s">
        <v>6</v>
      </c>
      <c r="I81" s="31" t="s">
        <v>11</v>
      </c>
      <c r="J81" s="7"/>
      <c r="K81" s="7"/>
      <c r="L81" s="7"/>
      <c r="M81" s="2"/>
      <c r="U81" s="161"/>
    </row>
    <row r="82" spans="1:21" ht="15" customHeight="1" thickTop="1">
      <c r="A82" s="216" t="s">
        <v>235</v>
      </c>
      <c r="B82" s="216">
        <f>'[1]POOL-joueus'!$B$534</f>
        <v>19.273972602739725</v>
      </c>
      <c r="C82" s="216" t="str">
        <f>'[1]POOL-joueus'!$C$534</f>
        <v>L.A.</v>
      </c>
      <c r="D82" s="234" t="str">
        <f>'[1]POOL-joueus'!$D$534</f>
        <v>Drew Doughty</v>
      </c>
      <c r="E82" s="216">
        <v>35</v>
      </c>
      <c r="F82" s="216">
        <v>3</v>
      </c>
      <c r="G82" s="216">
        <v>9</v>
      </c>
      <c r="H82" s="194">
        <f>SUM(F82:G82)</f>
        <v>12</v>
      </c>
      <c r="I82" s="235">
        <f>H82/E82</f>
        <v>0.34285714285714286</v>
      </c>
      <c r="J82" s="7"/>
      <c r="K82" s="7"/>
      <c r="L82" s="7"/>
      <c r="M82" s="2"/>
      <c r="U82" s="161"/>
    </row>
    <row r="83" spans="1:21" ht="15" customHeight="1" thickBot="1">
      <c r="A83" s="180" t="s">
        <v>144</v>
      </c>
      <c r="B83" s="180">
        <f>'[1]POOL-joueus'!$B$795</f>
        <v>21.53972602739726</v>
      </c>
      <c r="C83" s="180" t="str">
        <f>'[1]POOL-joueus'!$C$795</f>
        <v>Dal</v>
      </c>
      <c r="D83" s="181" t="str">
        <f>'[1]POOL-joueus'!$D$795</f>
        <v>James Neal</v>
      </c>
      <c r="E83" s="196">
        <v>10</v>
      </c>
      <c r="F83" s="196">
        <v>2</v>
      </c>
      <c r="G83" s="196">
        <v>2</v>
      </c>
      <c r="H83" s="211">
        <f>SUM(F83:G83)</f>
        <v>4</v>
      </c>
      <c r="I83" s="232">
        <f>H83/E83</f>
        <v>0.4</v>
      </c>
      <c r="J83" s="7"/>
      <c r="K83" s="7"/>
      <c r="L83" s="7"/>
      <c r="M83" s="2"/>
      <c r="U83" s="161"/>
    </row>
    <row r="84" spans="2:21" ht="15" customHeight="1">
      <c r="B84" s="333" t="s">
        <v>26</v>
      </c>
      <c r="C84" s="333"/>
      <c r="D84" s="333"/>
      <c r="E84" s="14">
        <f>SUM(E82:E83)</f>
        <v>45</v>
      </c>
      <c r="F84" s="14">
        <f>SUM(F82:F83)</f>
        <v>5</v>
      </c>
      <c r="G84" s="14">
        <f>SUM(G82:G83)</f>
        <v>11</v>
      </c>
      <c r="H84" s="33">
        <f>SUM(F84:G84)</f>
        <v>16</v>
      </c>
      <c r="I84" s="50">
        <f>H84/E84</f>
        <v>0.35555555555555557</v>
      </c>
      <c r="J84" s="7"/>
      <c r="K84" s="7"/>
      <c r="L84" s="7"/>
      <c r="M84" s="2"/>
      <c r="U84" s="161"/>
    </row>
    <row r="85" spans="1:21" ht="15" customHeight="1">
      <c r="A85" s="128"/>
      <c r="B85" s="146"/>
      <c r="C85" s="146"/>
      <c r="D85" s="146"/>
      <c r="E85" s="5"/>
      <c r="F85" s="5"/>
      <c r="G85" s="5"/>
      <c r="H85" s="5"/>
      <c r="I85" s="147"/>
      <c r="J85" s="7"/>
      <c r="K85" s="7"/>
      <c r="L85" s="7"/>
      <c r="M85" s="2"/>
      <c r="U85" s="161"/>
    </row>
    <row r="86" spans="2:21" ht="15" customHeight="1">
      <c r="B86" s="337" t="s">
        <v>142</v>
      </c>
      <c r="C86" s="337"/>
      <c r="D86" s="337"/>
      <c r="E86" s="109">
        <f>E79+E84</f>
        <v>102</v>
      </c>
      <c r="F86" s="112"/>
      <c r="G86" s="112"/>
      <c r="H86" s="44">
        <f>K79+H84</f>
        <v>78</v>
      </c>
      <c r="I86" s="29">
        <f>H86/E86</f>
        <v>0.7647058823529411</v>
      </c>
      <c r="L86" s="129"/>
      <c r="M86" s="2"/>
      <c r="U86" s="161"/>
    </row>
    <row r="87" spans="2:21" ht="15" customHeight="1" thickBot="1">
      <c r="B87" s="51"/>
      <c r="C87" s="51"/>
      <c r="D87" s="51"/>
      <c r="E87" s="51"/>
      <c r="F87" s="51"/>
      <c r="G87" s="51"/>
      <c r="H87" s="51"/>
      <c r="I87" s="51"/>
      <c r="J87" s="52"/>
      <c r="K87" s="52"/>
      <c r="L87" s="52"/>
      <c r="M87" s="2"/>
      <c r="U87" s="161"/>
    </row>
    <row r="88" spans="2:21" ht="15" customHeight="1">
      <c r="B88" s="280" t="s">
        <v>63</v>
      </c>
      <c r="C88" s="280"/>
      <c r="D88" s="280"/>
      <c r="E88" s="280"/>
      <c r="F88" s="280"/>
      <c r="G88" s="280"/>
      <c r="H88" s="280"/>
      <c r="I88" s="280"/>
      <c r="J88" s="280"/>
      <c r="K88" s="280"/>
      <c r="L88" s="7"/>
      <c r="M88" s="2"/>
      <c r="U88" s="161"/>
    </row>
    <row r="89" spans="2:21" ht="15" customHeight="1">
      <c r="B89" s="53"/>
      <c r="C89" s="53"/>
      <c r="D89" s="53"/>
      <c r="E89" s="53"/>
      <c r="F89" s="53"/>
      <c r="G89" s="53"/>
      <c r="H89" s="53"/>
      <c r="I89" s="53"/>
      <c r="J89" s="7"/>
      <c r="K89" s="7"/>
      <c r="L89" s="7"/>
      <c r="M89" s="2"/>
      <c r="U89" s="161"/>
    </row>
    <row r="90" spans="2:21" ht="15" customHeight="1" thickBot="1">
      <c r="B90" s="53"/>
      <c r="C90" s="248" t="s">
        <v>1</v>
      </c>
      <c r="D90" s="249"/>
      <c r="E90" s="54" t="s">
        <v>2</v>
      </c>
      <c r="F90" s="54" t="s">
        <v>3</v>
      </c>
      <c r="G90" s="54" t="s">
        <v>4</v>
      </c>
      <c r="H90" s="54" t="s">
        <v>5</v>
      </c>
      <c r="I90" s="54" t="s">
        <v>6</v>
      </c>
      <c r="J90" s="53"/>
      <c r="K90" s="53"/>
      <c r="L90" s="7"/>
      <c r="M90" s="2"/>
      <c r="U90" s="161"/>
    </row>
    <row r="91" spans="2:21" ht="15" customHeight="1" thickBot="1" thickTop="1">
      <c r="B91" s="53"/>
      <c r="C91" s="276" t="str">
        <f>'[1]Equipes-Pool'!$B$31</f>
        <v>Oilers d'Edmonton</v>
      </c>
      <c r="D91" s="277"/>
      <c r="E91" s="55">
        <f>'[1]Equipes-Pool'!$C$31</f>
        <v>67</v>
      </c>
      <c r="F91" s="55">
        <f>'[1]Equipes-Pool'!$D$31</f>
        <v>72</v>
      </c>
      <c r="G91" s="55">
        <f>'[1]Equipes-Pool'!$E$31</f>
        <v>190</v>
      </c>
      <c r="H91" s="55">
        <f>'[1]Equipes-Pool'!$F$31</f>
        <v>207</v>
      </c>
      <c r="I91" s="12">
        <f>F91+(G91-H91)</f>
        <v>55</v>
      </c>
      <c r="J91" s="53"/>
      <c r="K91" s="53"/>
      <c r="L91" s="7"/>
      <c r="M91" s="2"/>
      <c r="U91" s="161"/>
    </row>
    <row r="92" spans="2:21" ht="15" customHeight="1">
      <c r="B92" s="53"/>
      <c r="C92" s="278" t="s">
        <v>7</v>
      </c>
      <c r="D92" s="279"/>
      <c r="E92" s="22">
        <f>SUM(E91)</f>
        <v>67</v>
      </c>
      <c r="F92" s="22">
        <f>SUM(F91)</f>
        <v>72</v>
      </c>
      <c r="G92" s="22">
        <f>SUM(G91)</f>
        <v>190</v>
      </c>
      <c r="H92" s="22">
        <f>SUM(H91)</f>
        <v>207</v>
      </c>
      <c r="I92" s="56">
        <f>F92+(G92-H92)</f>
        <v>55</v>
      </c>
      <c r="J92" s="53"/>
      <c r="K92" s="53"/>
      <c r="L92" s="7"/>
      <c r="M92" s="2"/>
      <c r="U92" s="161"/>
    </row>
    <row r="93" spans="10:21" ht="15" customHeight="1">
      <c r="J93" s="57"/>
      <c r="K93" s="57"/>
      <c r="M93" s="2"/>
      <c r="U93" s="161"/>
    </row>
    <row r="94" spans="2:21" ht="15" customHeight="1">
      <c r="B94" s="251" t="s">
        <v>13</v>
      </c>
      <c r="C94" s="252"/>
      <c r="D94" s="252"/>
      <c r="E94" s="252"/>
      <c r="F94" s="252"/>
      <c r="G94" s="252"/>
      <c r="H94" s="252"/>
      <c r="I94" s="252"/>
      <c r="J94" s="252"/>
      <c r="K94" s="253"/>
      <c r="M94" s="2"/>
      <c r="U94" s="161"/>
    </row>
    <row r="95" spans="2:21" ht="15" customHeight="1" thickBot="1">
      <c r="B95" s="54" t="s">
        <v>15</v>
      </c>
      <c r="C95" s="54" t="s">
        <v>16</v>
      </c>
      <c r="D95" s="54" t="s">
        <v>17</v>
      </c>
      <c r="E95" s="171" t="s">
        <v>2</v>
      </c>
      <c r="F95" s="171" t="s">
        <v>18</v>
      </c>
      <c r="G95" s="171" t="s">
        <v>19</v>
      </c>
      <c r="H95" s="171" t="s">
        <v>20</v>
      </c>
      <c r="I95" s="171" t="s">
        <v>21</v>
      </c>
      <c r="J95" s="171" t="s">
        <v>22</v>
      </c>
      <c r="K95" s="54" t="s">
        <v>6</v>
      </c>
      <c r="M95" s="2"/>
      <c r="U95" s="161"/>
    </row>
    <row r="96" spans="2:21" ht="15" customHeight="1" thickTop="1">
      <c r="B96" s="107">
        <f>'[1]Pool-gardien'!$B$43</f>
        <v>26.5013698630137</v>
      </c>
      <c r="C96" s="107" t="str">
        <f>'[1]Pool-gardien'!$C$43</f>
        <v>Col</v>
      </c>
      <c r="D96" s="124" t="str">
        <f>'[1]Pool-gardien'!$D$43</f>
        <v>Peter Budaj</v>
      </c>
      <c r="E96" s="107">
        <f>('[1]Pool-gardien'!$E$43)-28</f>
        <v>19</v>
      </c>
      <c r="F96" s="107">
        <f>('[1]Pool-gardien'!$F$43)-12</f>
        <v>5</v>
      </c>
      <c r="G96" s="107">
        <f>('[1]Pool-gardien'!$G$43)-1</f>
        <v>1</v>
      </c>
      <c r="H96" s="107">
        <f>('[1]Pool-gardien'!$H$43)-1</f>
        <v>0</v>
      </c>
      <c r="I96" s="107">
        <f>('[1]Pool-gardien'!$I$43)-0</f>
        <v>0</v>
      </c>
      <c r="J96" s="107">
        <f>('[1]Pool-gardien'!$J$43)-0</f>
        <v>1</v>
      </c>
      <c r="K96" s="14">
        <f aca="true" t="shared" si="11" ref="K96:K101">(F96*2)+G96+(H96*4)+(I96*10)+J96</f>
        <v>12</v>
      </c>
      <c r="M96" s="2"/>
      <c r="U96" s="161"/>
    </row>
    <row r="97" spans="2:21" ht="15" customHeight="1">
      <c r="B97" s="183">
        <f>'[1]Pool-gardien'!$B$28</f>
        <v>32.51780821917808</v>
      </c>
      <c r="C97" s="183" t="str">
        <f>'[1]Pool-gardien'!$C$28</f>
        <v>Wsh</v>
      </c>
      <c r="D97" s="184" t="str">
        <f>'[1]Pool-gardien'!$D$28</f>
        <v>Jose Theodore</v>
      </c>
      <c r="E97" s="183">
        <v>24</v>
      </c>
      <c r="F97" s="183">
        <v>14</v>
      </c>
      <c r="G97" s="183">
        <v>2</v>
      </c>
      <c r="H97" s="183">
        <v>1</v>
      </c>
      <c r="I97" s="183">
        <v>0</v>
      </c>
      <c r="J97" s="183">
        <v>1</v>
      </c>
      <c r="K97" s="201">
        <f t="shared" si="11"/>
        <v>35</v>
      </c>
      <c r="M97" s="2"/>
      <c r="U97" s="161"/>
    </row>
    <row r="98" spans="2:21" ht="15" customHeight="1">
      <c r="B98" s="108">
        <f>'[1]Pool-gardien'!$B$96</f>
        <v>32.02465753424657</v>
      </c>
      <c r="C98" s="108" t="str">
        <f>'[1]Pool-gardien'!$C$96</f>
        <v>Wsh</v>
      </c>
      <c r="D98" s="110" t="str">
        <f>'[1]Pool-gardien'!$D$96</f>
        <v>Brent Johnson</v>
      </c>
      <c r="E98" s="109">
        <f>('[1]Pool-gardien'!$E$96)-8</f>
        <v>13</v>
      </c>
      <c r="F98" s="109">
        <f>('[1]Pool-gardien'!$F$96)-5</f>
        <v>7</v>
      </c>
      <c r="G98" s="109">
        <f>('[1]Pool-gardien'!$G$96)-2</f>
        <v>0</v>
      </c>
      <c r="H98" s="109">
        <f>('[1]Pool-gardien'!$H$96)-0</f>
        <v>0</v>
      </c>
      <c r="I98" s="109">
        <f>('[1]Pool-gardien'!$I$96)-0</f>
        <v>0</v>
      </c>
      <c r="J98" s="109">
        <f>('[1]Pool-gardien'!$J$96)-0</f>
        <v>1</v>
      </c>
      <c r="K98" s="14">
        <f t="shared" si="11"/>
        <v>15</v>
      </c>
      <c r="M98" s="2"/>
      <c r="U98" s="161"/>
    </row>
    <row r="99" spans="2:21" ht="15" customHeight="1">
      <c r="B99" s="106"/>
      <c r="C99" s="106"/>
      <c r="D99" s="126"/>
      <c r="E99" s="106"/>
      <c r="F99" s="106"/>
      <c r="G99" s="106"/>
      <c r="H99" s="106"/>
      <c r="I99" s="106"/>
      <c r="J99" s="106"/>
      <c r="K99" s="14">
        <f t="shared" si="11"/>
        <v>0</v>
      </c>
      <c r="M99" s="2"/>
      <c r="U99" s="161"/>
    </row>
    <row r="100" spans="2:21" ht="15" customHeight="1" thickBot="1">
      <c r="B100" s="108"/>
      <c r="C100" s="22"/>
      <c r="D100" s="42"/>
      <c r="E100" s="114"/>
      <c r="F100" s="114"/>
      <c r="G100" s="114"/>
      <c r="H100" s="114"/>
      <c r="I100" s="114"/>
      <c r="J100" s="114"/>
      <c r="K100" s="36">
        <f t="shared" si="11"/>
        <v>0</v>
      </c>
      <c r="M100" s="2"/>
      <c r="U100" s="161"/>
    </row>
    <row r="101" spans="2:21" ht="15" customHeight="1">
      <c r="B101" s="278" t="s">
        <v>7</v>
      </c>
      <c r="C101" s="281"/>
      <c r="D101" s="279"/>
      <c r="E101" s="22">
        <f aca="true" t="shared" si="12" ref="E101:J101">SUM(E96:E100)</f>
        <v>56</v>
      </c>
      <c r="F101" s="22">
        <f t="shared" si="12"/>
        <v>26</v>
      </c>
      <c r="G101" s="22">
        <f t="shared" si="12"/>
        <v>3</v>
      </c>
      <c r="H101" s="22">
        <f t="shared" si="12"/>
        <v>1</v>
      </c>
      <c r="I101" s="22">
        <f t="shared" si="12"/>
        <v>0</v>
      </c>
      <c r="J101" s="22">
        <f t="shared" si="12"/>
        <v>3</v>
      </c>
      <c r="K101" s="14">
        <f t="shared" si="11"/>
        <v>62</v>
      </c>
      <c r="M101" s="2"/>
      <c r="U101" s="161"/>
    </row>
    <row r="102" spans="13:21" ht="15" customHeight="1">
      <c r="M102" s="2"/>
      <c r="U102" s="161"/>
    </row>
    <row r="103" spans="2:21" ht="15" customHeight="1">
      <c r="B103" s="251" t="s">
        <v>23</v>
      </c>
      <c r="C103" s="252"/>
      <c r="D103" s="252"/>
      <c r="E103" s="252"/>
      <c r="F103" s="252"/>
      <c r="G103" s="252"/>
      <c r="H103" s="252"/>
      <c r="I103" s="253"/>
      <c r="M103" s="2"/>
      <c r="U103" s="161"/>
    </row>
    <row r="104" spans="2:21" ht="15" customHeight="1" thickBot="1">
      <c r="B104" s="54" t="s">
        <v>15</v>
      </c>
      <c r="C104" s="54" t="s">
        <v>29</v>
      </c>
      <c r="D104" s="54" t="s">
        <v>17</v>
      </c>
      <c r="E104" s="54" t="s">
        <v>2</v>
      </c>
      <c r="F104" s="54" t="s">
        <v>21</v>
      </c>
      <c r="G104" s="54" t="s">
        <v>30</v>
      </c>
      <c r="H104" s="54" t="s">
        <v>6</v>
      </c>
      <c r="I104" s="54" t="s">
        <v>11</v>
      </c>
      <c r="M104" s="2"/>
      <c r="U104" s="161"/>
    </row>
    <row r="105" spans="2:21" ht="15" customHeight="1" thickTop="1">
      <c r="B105" s="180">
        <f>'[1]POOL-joueus'!$B$282</f>
        <v>24.33150684931507</v>
      </c>
      <c r="C105" s="180" t="str">
        <f>'[1]POOL-joueus'!$C$282</f>
        <v>Fla</v>
      </c>
      <c r="D105" s="181" t="str">
        <f>'[1]POOL-joueus'!$D$282</f>
        <v>Kamil Kreps</v>
      </c>
      <c r="E105" s="180">
        <v>11</v>
      </c>
      <c r="F105" s="180">
        <v>0</v>
      </c>
      <c r="G105" s="180">
        <v>2</v>
      </c>
      <c r="H105" s="139">
        <f>SUM(F105:G105)</f>
        <v>2</v>
      </c>
      <c r="I105" s="182">
        <f>H105/E105</f>
        <v>0.18181818181818182</v>
      </c>
      <c r="M105" s="2"/>
      <c r="U105" s="161"/>
    </row>
    <row r="106" spans="2:21" ht="15" customHeight="1">
      <c r="B106" s="185">
        <f>'[1]POOL-joueus'!$B$336</f>
        <v>22.21095890410959</v>
      </c>
      <c r="C106" s="185" t="str">
        <f>'[1]POOL-joueus'!$C$336</f>
        <v>S.J.</v>
      </c>
      <c r="D106" s="186" t="str">
        <f>'[1]POOL-joueus'!$D$336</f>
        <v>Devin Setoguchi</v>
      </c>
      <c r="E106" s="185">
        <v>15</v>
      </c>
      <c r="F106" s="185">
        <v>7</v>
      </c>
      <c r="G106" s="185">
        <v>7</v>
      </c>
      <c r="H106" s="139">
        <f>SUM(F106:G106)</f>
        <v>14</v>
      </c>
      <c r="I106" s="182">
        <f>H106/E106</f>
        <v>0.9333333333333333</v>
      </c>
      <c r="K106" s="1">
        <v>1</v>
      </c>
      <c r="M106" s="2"/>
      <c r="U106" s="161"/>
    </row>
    <row r="107" spans="2:21" ht="15" customHeight="1">
      <c r="B107" s="185">
        <f>'[1]POOL-joueus'!$B$132</f>
        <v>26.92054794520548</v>
      </c>
      <c r="C107" s="185" t="str">
        <f>'[1]POOL-joueus'!$C$132</f>
        <v>Phi</v>
      </c>
      <c r="D107" s="186" t="str">
        <f>'[1]POOL-joueus'!$D$132</f>
        <v>Scott Hartnell</v>
      </c>
      <c r="E107" s="185">
        <v>35</v>
      </c>
      <c r="F107" s="185">
        <v>13</v>
      </c>
      <c r="G107" s="185">
        <v>14</v>
      </c>
      <c r="H107" s="139">
        <f>SUM(F107:G107)</f>
        <v>27</v>
      </c>
      <c r="I107" s="182">
        <f>H107/E107</f>
        <v>0.7714285714285715</v>
      </c>
      <c r="M107" s="2"/>
      <c r="U107" s="161"/>
    </row>
    <row r="108" spans="2:21" ht="15" customHeight="1">
      <c r="B108" s="183">
        <f>'[1]POOL-joueus'!$B$166</f>
        <v>26.12054794520548</v>
      </c>
      <c r="C108" s="183" t="str">
        <f>'[1]POOL-joueus'!$C$166</f>
        <v>Tor</v>
      </c>
      <c r="D108" s="184" t="str">
        <f>'[1]POOL-joueus'!$D$166</f>
        <v>Lee Stempniak</v>
      </c>
      <c r="E108" s="183">
        <v>7</v>
      </c>
      <c r="F108" s="183">
        <v>2</v>
      </c>
      <c r="G108" s="183">
        <v>3</v>
      </c>
      <c r="H108" s="139">
        <f>SUM(F108:G108)</f>
        <v>5</v>
      </c>
      <c r="I108" s="182">
        <f>H108/E108</f>
        <v>0.7142857142857143</v>
      </c>
      <c r="M108" s="2"/>
      <c r="U108" s="161"/>
    </row>
    <row r="109" spans="2:21" ht="15" customHeight="1">
      <c r="B109" s="180">
        <f>'[1]POOL-joueus'!$B$130</f>
        <v>30.24109589041096</v>
      </c>
      <c r="C109" s="180" t="str">
        <f>'[1]POOL-joueus'!$C$130</f>
        <v>Edm</v>
      </c>
      <c r="D109" s="181" t="str">
        <f>'[1]POOL-joueus'!$D$130</f>
        <v>Ales Kotalik</v>
      </c>
      <c r="E109" s="183">
        <v>44</v>
      </c>
      <c r="F109" s="183">
        <v>11</v>
      </c>
      <c r="G109" s="183">
        <v>15</v>
      </c>
      <c r="H109" s="139">
        <f>SUM(F109:G109)</f>
        <v>26</v>
      </c>
      <c r="I109" s="182">
        <f>H109/E109</f>
        <v>0.5909090909090909</v>
      </c>
      <c r="M109" s="2"/>
      <c r="U109" s="161"/>
    </row>
    <row r="110" spans="2:21" ht="15" customHeight="1">
      <c r="B110" s="180">
        <f>'[1]POOL-joueus'!$B$150</f>
        <v>28.706849315068492</v>
      </c>
      <c r="C110" s="180" t="str">
        <f>'[1]POOL-joueus'!$C$150</f>
        <v>Nyi</v>
      </c>
      <c r="D110" s="181" t="str">
        <f>'[1]POOL-joueus'!$D$150</f>
        <v>Trent Hunter</v>
      </c>
      <c r="E110" s="180">
        <v>21</v>
      </c>
      <c r="F110" s="180">
        <v>8</v>
      </c>
      <c r="G110" s="180">
        <v>7</v>
      </c>
      <c r="H110" s="139">
        <f aca="true" t="shared" si="13" ref="H110:H117">SUM(F110:G110)</f>
        <v>15</v>
      </c>
      <c r="I110" s="182">
        <f aca="true" t="shared" si="14" ref="I110:I117">H110/E110</f>
        <v>0.7142857142857143</v>
      </c>
      <c r="M110" s="2"/>
      <c r="U110" s="161"/>
    </row>
    <row r="111" spans="2:21" ht="15" customHeight="1">
      <c r="B111" s="183">
        <f>'[1]POOL-joueus'!$B$331</f>
        <v>29.054794520547944</v>
      </c>
      <c r="C111" s="183" t="str">
        <f>'[1]POOL-joueus'!$C$331</f>
        <v>Phi</v>
      </c>
      <c r="D111" s="184" t="str">
        <f>'[1]POOL-joueus'!$D$331</f>
        <v>Simon Gagne</v>
      </c>
      <c r="E111" s="183">
        <v>1</v>
      </c>
      <c r="F111" s="183">
        <v>0</v>
      </c>
      <c r="G111" s="183">
        <v>0</v>
      </c>
      <c r="H111" s="139">
        <f t="shared" si="13"/>
        <v>0</v>
      </c>
      <c r="I111" s="182">
        <f t="shared" si="14"/>
        <v>0</v>
      </c>
      <c r="M111" s="2"/>
      <c r="U111" s="161"/>
    </row>
    <row r="112" spans="2:21" ht="15" customHeight="1">
      <c r="B112" s="183">
        <f>'[1]POOL-joueus'!$B$222</f>
        <v>37.106849315068494</v>
      </c>
      <c r="C112" s="183" t="str">
        <f>'[1]POOL-joueus'!$C$222</f>
        <v>Min</v>
      </c>
      <c r="D112" s="184" t="str">
        <f>'[1]POOL-joueus'!$D$222</f>
        <v>Owen Nolan</v>
      </c>
      <c r="E112" s="183">
        <v>3</v>
      </c>
      <c r="F112" s="183">
        <v>3</v>
      </c>
      <c r="G112" s="183">
        <v>1</v>
      </c>
      <c r="H112" s="139">
        <f>SUM(F112:G112)</f>
        <v>4</v>
      </c>
      <c r="I112" s="182">
        <f>H112/E112</f>
        <v>1.3333333333333333</v>
      </c>
      <c r="M112" s="2"/>
      <c r="U112" s="161"/>
    </row>
    <row r="113" spans="2:21" ht="15" customHeight="1">
      <c r="B113" s="107">
        <f>'[1]POOL-joueus'!$B$258</f>
        <v>21.81917808219178</v>
      </c>
      <c r="C113" s="107" t="str">
        <f>'[1]POOL-joueus'!$C$258</f>
        <v>Mtl</v>
      </c>
      <c r="D113" s="124" t="str">
        <f>'[1]POOL-joueus'!$D$258</f>
        <v>Guillaume Latendresse</v>
      </c>
      <c r="E113" s="107">
        <f>('[1]POOL-joueus'!$E$258)-15</f>
        <v>28</v>
      </c>
      <c r="F113" s="107">
        <f>('[1]POOL-joueus'!$F$258)-1</f>
        <v>8</v>
      </c>
      <c r="G113" s="107">
        <f>('[1]POOL-joueus'!$G$258)-3</f>
        <v>6</v>
      </c>
      <c r="H113" s="22">
        <f t="shared" si="13"/>
        <v>14</v>
      </c>
      <c r="I113" s="23">
        <f t="shared" si="14"/>
        <v>0.5</v>
      </c>
      <c r="J113" s="1" t="s">
        <v>234</v>
      </c>
      <c r="M113" s="2"/>
      <c r="U113" s="161"/>
    </row>
    <row r="114" spans="2:21" ht="15" customHeight="1">
      <c r="B114" s="185">
        <f>'[1]POOL-joueus'!$B$38</f>
        <v>25.6</v>
      </c>
      <c r="C114" s="185" t="str">
        <f>'[1]POOL-joueus'!$C$38</f>
        <v>Edm</v>
      </c>
      <c r="D114" s="186" t="str">
        <f>'[1]POOL-joueus'!$D$38</f>
        <v>Ales Hemsky</v>
      </c>
      <c r="E114" s="185">
        <v>1</v>
      </c>
      <c r="F114" s="185">
        <v>2</v>
      </c>
      <c r="G114" s="185">
        <v>0</v>
      </c>
      <c r="H114" s="139">
        <f t="shared" si="13"/>
        <v>2</v>
      </c>
      <c r="I114" s="182">
        <f t="shared" si="14"/>
        <v>2</v>
      </c>
      <c r="M114" s="2"/>
      <c r="U114" s="161"/>
    </row>
    <row r="115" spans="2:21" ht="15" customHeight="1">
      <c r="B115" s="183">
        <f>'[1]POOL-joueus'!$B$80</f>
        <v>30.53150684931507</v>
      </c>
      <c r="C115" s="183" t="str">
        <f>'[1]POOL-joueus'!$C$80</f>
        <v>Bos</v>
      </c>
      <c r="D115" s="184" t="str">
        <f>'[1]POOL-joueus'!$D$80</f>
        <v>Marco Sturm</v>
      </c>
      <c r="E115" s="183">
        <v>6</v>
      </c>
      <c r="F115" s="183">
        <v>4</v>
      </c>
      <c r="G115" s="183">
        <v>0</v>
      </c>
      <c r="H115" s="139">
        <f t="shared" si="13"/>
        <v>4</v>
      </c>
      <c r="I115" s="182">
        <f t="shared" si="14"/>
        <v>0.6666666666666666</v>
      </c>
      <c r="M115" s="2"/>
      <c r="U115" s="161"/>
    </row>
    <row r="116" spans="2:21" ht="15" customHeight="1">
      <c r="B116" s="106">
        <f>'[1]POOL-joueus'!$B$254</f>
        <v>27.91780821917808</v>
      </c>
      <c r="C116" s="106" t="str">
        <f>'[1]POOL-joueus'!$C$254</f>
        <v>Chi</v>
      </c>
      <c r="D116" s="126" t="str">
        <f>'[1]POOL-joueus'!$D$254</f>
        <v>Martin Havlat</v>
      </c>
      <c r="E116" s="106">
        <f>('[1]POOL-joueus'!$E$254)-64</f>
        <v>0</v>
      </c>
      <c r="F116" s="106">
        <f>('[1]POOL-joueus'!$F$254)-21</f>
        <v>0</v>
      </c>
      <c r="G116" s="106">
        <f>('[1]POOL-joueus'!$G$254)-36</f>
        <v>0</v>
      </c>
      <c r="H116" s="22">
        <f>SUM(F116:G116)</f>
        <v>0</v>
      </c>
      <c r="I116" s="23" t="e">
        <f>H116/E116</f>
        <v>#DIV/0!</v>
      </c>
      <c r="J116" s="1" t="s">
        <v>234</v>
      </c>
      <c r="M116" s="2"/>
      <c r="U116" s="161"/>
    </row>
    <row r="117" spans="2:21" ht="15" customHeight="1">
      <c r="B117" s="185">
        <f>'[1]POOL-joueus'!$B$154</f>
        <v>36.15890410958904</v>
      </c>
      <c r="C117" s="185" t="str">
        <f>'[1]POOL-joueus'!$C$154</f>
        <v>Det</v>
      </c>
      <c r="D117" s="186" t="str">
        <f>'[1]POOL-joueus'!$D$154</f>
        <v>Thomas Holmstrom</v>
      </c>
      <c r="E117" s="185">
        <v>2</v>
      </c>
      <c r="F117" s="185">
        <v>0</v>
      </c>
      <c r="G117" s="185">
        <v>2</v>
      </c>
      <c r="H117" s="139">
        <f t="shared" si="13"/>
        <v>2</v>
      </c>
      <c r="I117" s="182">
        <f t="shared" si="14"/>
        <v>1</v>
      </c>
      <c r="M117" s="2"/>
      <c r="U117" s="161"/>
    </row>
    <row r="118" spans="2:21" ht="15" customHeight="1">
      <c r="B118" s="108">
        <f>'[1]POOL-joueus'!$B$138</f>
        <v>25.96712328767123</v>
      </c>
      <c r="C118" s="108" t="str">
        <f>'[1]POOL-joueus'!$C$138</f>
        <v>Car</v>
      </c>
      <c r="D118" s="110" t="str">
        <f>'[1]POOL-joueus'!$D$138</f>
        <v>Jussi Jokinen</v>
      </c>
      <c r="E118" s="108">
        <f>((('[1]POOL-joueus'!$E$138)-2)-46)-11</f>
        <v>0</v>
      </c>
      <c r="F118" s="108">
        <f>((('[1]POOL-joueus'!$F$138))-6)-1</f>
        <v>0</v>
      </c>
      <c r="G118" s="108">
        <f>((('[1]POOL-joueus'!$G$138))-11)-3</f>
        <v>0</v>
      </c>
      <c r="H118" s="22">
        <f>SUM(F118:G118)</f>
        <v>0</v>
      </c>
      <c r="I118" s="23" t="e">
        <f>H118/E118</f>
        <v>#DIV/0!</v>
      </c>
      <c r="M118" s="2"/>
      <c r="U118" s="161"/>
    </row>
    <row r="119" spans="2:21" ht="15" customHeight="1" thickBot="1">
      <c r="B119" s="109">
        <f>'[1]POOL-joueus'!$B$112</f>
        <v>31.747945205479454</v>
      </c>
      <c r="C119" s="109" t="str">
        <f>'[1]POOL-joueus'!$C$112</f>
        <v>Buf</v>
      </c>
      <c r="D119" s="111" t="str">
        <f>'[1]POOL-joueus'!$D$112</f>
        <v>Jochen Hecht</v>
      </c>
      <c r="E119" s="113">
        <f>(('[1]POOL-joueus'!$E$112))-19</f>
        <v>36</v>
      </c>
      <c r="F119" s="113">
        <f>(('[1]POOL-joueus'!$F$112))-3</f>
        <v>6</v>
      </c>
      <c r="G119" s="113">
        <f>(('[1]POOL-joueus'!$G$112))-6</f>
        <v>6</v>
      </c>
      <c r="H119" s="40">
        <f>SUM(F119:G119)</f>
        <v>12</v>
      </c>
      <c r="I119" s="41">
        <f>H119/E119</f>
        <v>0.3333333333333333</v>
      </c>
      <c r="M119" s="2"/>
      <c r="U119" s="161"/>
    </row>
    <row r="120" spans="2:21" ht="15" customHeight="1">
      <c r="B120" s="278" t="s">
        <v>7</v>
      </c>
      <c r="C120" s="281"/>
      <c r="D120" s="279"/>
      <c r="E120" s="22">
        <f>SUM(E105:E119)</f>
        <v>210</v>
      </c>
      <c r="F120" s="22">
        <f>SUM(F105:F119)</f>
        <v>64</v>
      </c>
      <c r="G120" s="22">
        <f>SUM(G105:G119)</f>
        <v>63</v>
      </c>
      <c r="H120" s="22">
        <f>SUM(F120:G120)</f>
        <v>127</v>
      </c>
      <c r="I120" s="23">
        <f>H120/E120</f>
        <v>0.6047619047619047</v>
      </c>
      <c r="M120" s="2"/>
      <c r="U120" s="161"/>
    </row>
    <row r="121" ht="15" customHeight="1">
      <c r="U121" s="161"/>
    </row>
    <row r="122" spans="2:21" ht="15" customHeight="1">
      <c r="B122" s="251" t="s">
        <v>24</v>
      </c>
      <c r="C122" s="252"/>
      <c r="D122" s="252"/>
      <c r="E122" s="252"/>
      <c r="F122" s="252"/>
      <c r="G122" s="252"/>
      <c r="H122" s="252"/>
      <c r="I122" s="253"/>
      <c r="U122" s="161"/>
    </row>
    <row r="123" spans="2:21" ht="15" customHeight="1" thickBot="1">
      <c r="B123" s="54" t="s">
        <v>15</v>
      </c>
      <c r="C123" s="54" t="s">
        <v>29</v>
      </c>
      <c r="D123" s="54" t="s">
        <v>17</v>
      </c>
      <c r="E123" s="54" t="s">
        <v>2</v>
      </c>
      <c r="F123" s="54" t="s">
        <v>21</v>
      </c>
      <c r="G123" s="54" t="s">
        <v>30</v>
      </c>
      <c r="H123" s="54" t="s">
        <v>6</v>
      </c>
      <c r="I123" s="54" t="s">
        <v>11</v>
      </c>
      <c r="U123" s="161"/>
    </row>
    <row r="124" spans="2:21" ht="13.5" thickTop="1">
      <c r="B124" s="108">
        <f>'[1]POOL-joueus'!$B$197</f>
        <v>22.073972602739726</v>
      </c>
      <c r="C124" s="108" t="str">
        <f>'[1]POOL-joueus'!$C$197</f>
        <v>Phx</v>
      </c>
      <c r="D124" s="110" t="str">
        <f>'[1]POOL-joueus'!$D$197</f>
        <v>Martin Hanzal</v>
      </c>
      <c r="E124" s="108">
        <f>'[1]POOL-joueus'!$E$197</f>
        <v>62</v>
      </c>
      <c r="F124" s="108">
        <f>'[1]POOL-joueus'!$F$197</f>
        <v>10</v>
      </c>
      <c r="G124" s="108">
        <f>'[1]POOL-joueus'!$G$197</f>
        <v>17</v>
      </c>
      <c r="H124" s="22">
        <f aca="true" t="shared" si="15" ref="H124:H133">SUM(F124:G124)</f>
        <v>27</v>
      </c>
      <c r="I124" s="23">
        <f aca="true" t="shared" si="16" ref="I124:I133">H124/E124</f>
        <v>0.43548387096774194</v>
      </c>
      <c r="U124" s="161"/>
    </row>
    <row r="125" spans="2:21" ht="12.75">
      <c r="B125" s="180">
        <f>'[1]POOL-joueus'!$B$307</f>
        <v>25.843835616438355</v>
      </c>
      <c r="C125" s="180" t="str">
        <f>'[1]POOL-joueus'!$C$307</f>
        <v>Van</v>
      </c>
      <c r="D125" s="181" t="str">
        <f>'[1]POOL-joueus'!$D$307</f>
        <v>Kyle Wellwood</v>
      </c>
      <c r="E125" s="180">
        <v>49</v>
      </c>
      <c r="F125" s="180">
        <v>13</v>
      </c>
      <c r="G125" s="180">
        <v>7</v>
      </c>
      <c r="H125" s="139">
        <f t="shared" si="15"/>
        <v>20</v>
      </c>
      <c r="I125" s="182">
        <f t="shared" si="16"/>
        <v>0.40816326530612246</v>
      </c>
      <c r="U125" s="161"/>
    </row>
    <row r="126" spans="2:21" ht="12.75">
      <c r="B126" s="108">
        <f>'[1]POOL-joueus'!$B$114</f>
        <v>19.602739726027398</v>
      </c>
      <c r="C126" s="108" t="str">
        <f>'[1]POOL-joueus'!$C$114</f>
        <v>Edm</v>
      </c>
      <c r="D126" s="110" t="str">
        <f>'[1]POOL-joueus'!$D$114</f>
        <v>Sam Gagner</v>
      </c>
      <c r="E126" s="108">
        <f>('[1]POOL-joueus'!$E$114)-3</f>
        <v>58</v>
      </c>
      <c r="F126" s="108">
        <f>('[1]POOL-joueus'!$F$114)-2</f>
        <v>8</v>
      </c>
      <c r="G126" s="108">
        <f>('[1]POOL-joueus'!$G$114)</f>
        <v>16</v>
      </c>
      <c r="H126" s="22">
        <f t="shared" si="15"/>
        <v>24</v>
      </c>
      <c r="I126" s="23">
        <f t="shared" si="16"/>
        <v>0.41379310344827586</v>
      </c>
      <c r="U126" s="161"/>
    </row>
    <row r="127" spans="2:21" ht="12.75">
      <c r="B127" s="109">
        <f>'[1]POOL-joueus'!$B$216</f>
        <v>25.24931506849315</v>
      </c>
      <c r="C127" s="109" t="str">
        <f>'[1]POOL-joueus'!$C$216</f>
        <v>Tor</v>
      </c>
      <c r="D127" s="111" t="str">
        <f>'[1]POOL-joueus'!$D$216</f>
        <v>Matt Stajan</v>
      </c>
      <c r="E127" s="109">
        <f>(((('[1]POOL-joueus'!$E$216)-15)-7)-12)-14</f>
        <v>15</v>
      </c>
      <c r="F127" s="109">
        <f>(((('[1]POOL-joueus'!$F$216)-5)-1)-3)-3</f>
        <v>2</v>
      </c>
      <c r="G127" s="109">
        <f>(((('[1]POOL-joueus'!$G$216)-12)-2)-7)-3</f>
        <v>8</v>
      </c>
      <c r="H127" s="22">
        <f>SUM(F127:G127)</f>
        <v>10</v>
      </c>
      <c r="I127" s="23">
        <f>H127/E127</f>
        <v>0.6666666666666666</v>
      </c>
      <c r="U127" s="161"/>
    </row>
    <row r="128" spans="2:21" ht="12.75">
      <c r="B128" s="107">
        <f>'[1]POOL-joueus'!$B$152</f>
        <v>39.70958904109589</v>
      </c>
      <c r="C128" s="107" t="str">
        <f>'[1]POOL-joueus'!$C$152</f>
        <v>Col</v>
      </c>
      <c r="D128" s="124" t="str">
        <f>'[1]POOL-joueus'!$D$152</f>
        <v>Joe Sakic</v>
      </c>
      <c r="E128" s="107">
        <f>(('[1]POOL-joueus'!$E$152))-13</f>
        <v>2</v>
      </c>
      <c r="F128" s="107">
        <f>(('[1]POOL-joueus'!$F$152))-2</f>
        <v>0</v>
      </c>
      <c r="G128" s="107">
        <f>(('[1]POOL-joueus'!$G$152))-10</f>
        <v>0</v>
      </c>
      <c r="H128" s="22">
        <f t="shared" si="15"/>
        <v>0</v>
      </c>
      <c r="I128" s="23">
        <f t="shared" si="16"/>
        <v>0</v>
      </c>
      <c r="J128" s="1" t="s">
        <v>234</v>
      </c>
      <c r="U128" s="161"/>
    </row>
    <row r="129" spans="2:21" ht="12.75">
      <c r="B129" s="180">
        <f>'[1]POOL-joueus'!$B$108</f>
        <v>30.506849315068493</v>
      </c>
      <c r="C129" s="180" t="str">
        <f>'[1]POOL-joueus'!$C$108</f>
        <v>Edm</v>
      </c>
      <c r="D129" s="181" t="str">
        <f>'[1]POOL-joueus'!$D$108</f>
        <v>Shawn Horcoff</v>
      </c>
      <c r="E129" s="183">
        <v>5</v>
      </c>
      <c r="F129" s="183">
        <v>1</v>
      </c>
      <c r="G129" s="183">
        <v>2</v>
      </c>
      <c r="H129" s="139">
        <f t="shared" si="15"/>
        <v>3</v>
      </c>
      <c r="I129" s="182">
        <f t="shared" si="16"/>
        <v>0.6</v>
      </c>
      <c r="U129" s="161"/>
    </row>
    <row r="130" spans="2:21" ht="12.75">
      <c r="B130" s="183">
        <f>'[1]POOL-joueus'!$B$76</f>
        <v>38.79178082191781</v>
      </c>
      <c r="C130" s="183" t="str">
        <f>'[1]POOL-joueus'!$C$76</f>
        <v>Dal</v>
      </c>
      <c r="D130" s="184" t="str">
        <f>'[1]POOL-joueus'!$D$76</f>
        <v>Mike Modano</v>
      </c>
      <c r="E130" s="183">
        <v>9</v>
      </c>
      <c r="F130" s="183">
        <v>4</v>
      </c>
      <c r="G130" s="183">
        <v>6</v>
      </c>
      <c r="H130" s="139">
        <f t="shared" si="15"/>
        <v>10</v>
      </c>
      <c r="I130" s="182">
        <f t="shared" si="16"/>
        <v>1.1111111111111112</v>
      </c>
      <c r="J130" s="142"/>
      <c r="U130" s="161"/>
    </row>
    <row r="131" spans="2:21" ht="15" customHeight="1">
      <c r="B131" s="180">
        <f>'[1]POOL-joueus'!$B$168</f>
        <v>30.76164383561644</v>
      </c>
      <c r="C131" s="180" t="str">
        <f>'[1]POOL-joueus'!$C$168</f>
        <v>N.J.</v>
      </c>
      <c r="D131" s="181" t="str">
        <f>'[1]POOL-joueus'!$D$168</f>
        <v>Dainius Zubrus</v>
      </c>
      <c r="E131" s="180">
        <v>6</v>
      </c>
      <c r="F131" s="180">
        <v>0</v>
      </c>
      <c r="G131" s="180">
        <v>1</v>
      </c>
      <c r="H131" s="139">
        <f t="shared" si="15"/>
        <v>1</v>
      </c>
      <c r="I131" s="182">
        <f t="shared" si="16"/>
        <v>0.16666666666666666</v>
      </c>
      <c r="J131" s="142"/>
      <c r="U131" s="161"/>
    </row>
    <row r="132" spans="2:21" ht="13.5" thickBot="1">
      <c r="B132" s="107"/>
      <c r="C132" s="107"/>
      <c r="D132" s="124"/>
      <c r="E132" s="123"/>
      <c r="F132" s="123"/>
      <c r="G132" s="123"/>
      <c r="H132" s="40">
        <f t="shared" si="15"/>
        <v>0</v>
      </c>
      <c r="I132" s="41" t="e">
        <f t="shared" si="16"/>
        <v>#DIV/0!</v>
      </c>
      <c r="U132" s="161"/>
    </row>
    <row r="133" spans="2:21" ht="12.75">
      <c r="B133" s="278" t="s">
        <v>7</v>
      </c>
      <c r="C133" s="281"/>
      <c r="D133" s="279"/>
      <c r="E133" s="22">
        <f>SUM(E124:E132)</f>
        <v>206</v>
      </c>
      <c r="F133" s="22">
        <f>SUM(F124:F132)</f>
        <v>38</v>
      </c>
      <c r="G133" s="22">
        <f>SUM(G124:G132)</f>
        <v>57</v>
      </c>
      <c r="H133" s="22">
        <f t="shared" si="15"/>
        <v>95</v>
      </c>
      <c r="I133" s="23">
        <f t="shared" si="16"/>
        <v>0.46116504854368934</v>
      </c>
      <c r="U133" s="161"/>
    </row>
    <row r="134" ht="12.75">
      <c r="U134" s="161"/>
    </row>
    <row r="135" spans="2:21" ht="13.5">
      <c r="B135" s="251" t="s">
        <v>25</v>
      </c>
      <c r="C135" s="252"/>
      <c r="D135" s="252"/>
      <c r="E135" s="252"/>
      <c r="F135" s="252"/>
      <c r="G135" s="252"/>
      <c r="H135" s="252"/>
      <c r="I135" s="253"/>
      <c r="U135" s="161"/>
    </row>
    <row r="136" spans="2:21" ht="13.5" thickBot="1">
      <c r="B136" s="54" t="s">
        <v>15</v>
      </c>
      <c r="C136" s="54" t="s">
        <v>29</v>
      </c>
      <c r="D136" s="54" t="s">
        <v>17</v>
      </c>
      <c r="E136" s="54" t="s">
        <v>2</v>
      </c>
      <c r="F136" s="54" t="s">
        <v>21</v>
      </c>
      <c r="G136" s="54" t="s">
        <v>30</v>
      </c>
      <c r="H136" s="54" t="s">
        <v>6</v>
      </c>
      <c r="I136" s="54" t="s">
        <v>11</v>
      </c>
      <c r="U136" s="161"/>
    </row>
    <row r="137" spans="2:21" ht="13.5" thickTop="1">
      <c r="B137" s="108">
        <f>'[1]POOL-joueus'!$B$261</f>
        <v>33.013698630136986</v>
      </c>
      <c r="C137" s="108" t="str">
        <f>'[1]POOL-joueus'!$C$261</f>
        <v>Min</v>
      </c>
      <c r="D137" s="110" t="str">
        <f>'[1]POOL-joueus'!$D$261</f>
        <v>Kim Johnsson</v>
      </c>
      <c r="E137" s="106">
        <f>('[1]POOL-joueus'!$E$285)-16</f>
        <v>50</v>
      </c>
      <c r="F137" s="106">
        <f>('[1]POOL-joueus'!$F$285)-1</f>
        <v>3</v>
      </c>
      <c r="G137" s="106">
        <f>('[1]POOL-joueus'!$G$285)-3</f>
        <v>14</v>
      </c>
      <c r="H137" s="22">
        <f aca="true" t="shared" si="17" ref="H137:H147">SUM(F137:G137)</f>
        <v>17</v>
      </c>
      <c r="I137" s="23">
        <f aca="true" t="shared" si="18" ref="I137:I147">H137/E137</f>
        <v>0.34</v>
      </c>
      <c r="U137" s="161"/>
    </row>
    <row r="138" spans="2:21" ht="12.75">
      <c r="B138" s="185">
        <f>'[1]POOL-joueus'!$B$285</f>
        <v>32.52876712328767</v>
      </c>
      <c r="C138" s="185" t="str">
        <f>'[1]POOL-joueus'!$C$285</f>
        <v>Van</v>
      </c>
      <c r="D138" s="186" t="str">
        <f>'[1]POOL-joueus'!$D$285</f>
        <v>Mattias Ohlund</v>
      </c>
      <c r="E138" s="189">
        <v>16</v>
      </c>
      <c r="F138" s="189">
        <v>1</v>
      </c>
      <c r="G138" s="189">
        <v>7</v>
      </c>
      <c r="H138" s="139">
        <f t="shared" si="17"/>
        <v>8</v>
      </c>
      <c r="I138" s="182">
        <f t="shared" si="18"/>
        <v>0.5</v>
      </c>
      <c r="U138" s="161"/>
    </row>
    <row r="139" spans="2:21" ht="12.75">
      <c r="B139" s="180">
        <f>'[1]POOL-joueus'!$B$311</f>
        <v>26.312328767123287</v>
      </c>
      <c r="C139" s="180" t="str">
        <f>'[1]POOL-joueus'!$C$311</f>
        <v>Fla</v>
      </c>
      <c r="D139" s="181" t="str">
        <f>'[1]POOL-joueus'!$D$311</f>
        <v>Keith Ballard</v>
      </c>
      <c r="E139" s="180">
        <v>5</v>
      </c>
      <c r="F139" s="180">
        <v>1</v>
      </c>
      <c r="G139" s="180">
        <v>4</v>
      </c>
      <c r="H139" s="139">
        <f t="shared" si="17"/>
        <v>5</v>
      </c>
      <c r="I139" s="182">
        <f t="shared" si="18"/>
        <v>1</v>
      </c>
      <c r="U139" s="161"/>
    </row>
    <row r="140" spans="2:21" ht="12.75">
      <c r="B140" s="183">
        <f>'[1]POOL-joueus'!$B$164</f>
        <v>30.545205479452054</v>
      </c>
      <c r="C140" s="183" t="str">
        <f>'[1]POOL-joueus'!$C$164</f>
        <v>Nyr</v>
      </c>
      <c r="D140" s="184" t="str">
        <f>'[1]POOL-joueus'!$D$164</f>
        <v>Michal Rozsival</v>
      </c>
      <c r="E140" s="183">
        <v>1</v>
      </c>
      <c r="F140" s="183">
        <v>1</v>
      </c>
      <c r="G140" s="183">
        <v>0</v>
      </c>
      <c r="H140" s="140">
        <f>SUM(F140:G140)</f>
        <v>1</v>
      </c>
      <c r="I140" s="199">
        <f>H140/E140</f>
        <v>1</v>
      </c>
      <c r="U140" s="161"/>
    </row>
    <row r="141" spans="2:21" ht="12.75">
      <c r="B141" s="183">
        <f>'[1]POOL-joueus'!$B$568</f>
        <v>25.383561643835616</v>
      </c>
      <c r="C141" s="183" t="str">
        <f>'[1]POOL-joueus'!$C$568</f>
        <v>Fla</v>
      </c>
      <c r="D141" s="184" t="str">
        <f>'[1]POOL-joueus'!$D$568</f>
        <v>Steve Eminger</v>
      </c>
      <c r="E141" s="183">
        <v>2</v>
      </c>
      <c r="F141" s="183">
        <v>0</v>
      </c>
      <c r="G141" s="183">
        <v>0</v>
      </c>
      <c r="H141" s="140">
        <f>SUM(F141:G141)</f>
        <v>0</v>
      </c>
      <c r="I141" s="199">
        <f>H141/E141</f>
        <v>0</v>
      </c>
      <c r="U141" s="161"/>
    </row>
    <row r="142" spans="2:21" ht="12.75">
      <c r="B142" s="109">
        <f>'[1]POOL-joueus'!$B$198</f>
        <v>34.52054794520548</v>
      </c>
      <c r="C142" s="109" t="str">
        <f>'[1]POOL-joueus'!$C$198</f>
        <v>Buf</v>
      </c>
      <c r="D142" s="111" t="str">
        <f>'[1]POOL-joueus'!$D$198</f>
        <v>Craig Rivet</v>
      </c>
      <c r="E142" s="108">
        <f>('[1]POOL-joueus'!$E$198)-17</f>
        <v>32</v>
      </c>
      <c r="F142" s="108">
        <f>('[1]POOL-joueus'!$F$198)</f>
        <v>1</v>
      </c>
      <c r="G142" s="108">
        <f>('[1]POOL-joueus'!$G$198)-5</f>
        <v>13</v>
      </c>
      <c r="H142" s="28">
        <f t="shared" si="17"/>
        <v>14</v>
      </c>
      <c r="I142" s="29">
        <f t="shared" si="18"/>
        <v>0.4375</v>
      </c>
      <c r="J142" s="1" t="s">
        <v>234</v>
      </c>
      <c r="U142" s="161"/>
    </row>
    <row r="143" spans="2:21" ht="12.75">
      <c r="B143" s="106">
        <f>'[1]POOL-joueus'!$B$268</f>
        <v>35.50410958904109</v>
      </c>
      <c r="C143" s="106" t="str">
        <f>'[1]POOL-joueus'!$C$268</f>
        <v>Car</v>
      </c>
      <c r="D143" s="126" t="str">
        <f>'[1]POOL-joueus'!$D$268</f>
        <v>Joni Pitkanen</v>
      </c>
      <c r="E143" s="107">
        <f>('[1]POOL-joueus'!$E$268)-57</f>
        <v>2</v>
      </c>
      <c r="F143" s="107">
        <f>('[1]POOL-joueus'!$F$268)-6</f>
        <v>0</v>
      </c>
      <c r="G143" s="107">
        <f>('[1]POOL-joueus'!$G$268)-21</f>
        <v>1</v>
      </c>
      <c r="H143" s="28">
        <f t="shared" si="17"/>
        <v>1</v>
      </c>
      <c r="I143" s="29">
        <f t="shared" si="18"/>
        <v>0.5</v>
      </c>
      <c r="J143" s="1" t="s">
        <v>234</v>
      </c>
      <c r="U143" s="161"/>
    </row>
    <row r="144" spans="2:21" ht="12.75">
      <c r="B144" s="185">
        <f>'[1]POOL-joueus'!$B$165</f>
        <v>31.77260273972603</v>
      </c>
      <c r="C144" s="185" t="str">
        <f>'[1]POOL-joueus'!$C$165</f>
        <v>Nyr</v>
      </c>
      <c r="D144" s="186" t="str">
        <f>'[1]POOL-joueus'!$D$165</f>
        <v>Wade Redden</v>
      </c>
      <c r="E144" s="185">
        <v>3</v>
      </c>
      <c r="F144" s="185">
        <v>0</v>
      </c>
      <c r="G144" s="185">
        <v>3</v>
      </c>
      <c r="H144" s="140">
        <f>SUM(F144:G144)</f>
        <v>3</v>
      </c>
      <c r="I144" s="199">
        <f>H144/E144</f>
        <v>1</v>
      </c>
      <c r="U144" s="161"/>
    </row>
    <row r="145" spans="2:21" ht="12.75">
      <c r="B145" s="180">
        <f>'[1]POOL-joueus'!$B$393</f>
        <v>22.17808219178082</v>
      </c>
      <c r="C145" s="180" t="str">
        <f>'[1]POOL-joueus'!$C$393</f>
        <v>L.A.</v>
      </c>
      <c r="D145" s="181" t="str">
        <f>'[1]POOL-joueus'!$D$393</f>
        <v>Jack Johnson</v>
      </c>
      <c r="E145" s="180">
        <v>21</v>
      </c>
      <c r="F145" s="180">
        <v>4</v>
      </c>
      <c r="G145" s="180">
        <v>2</v>
      </c>
      <c r="H145" s="140">
        <f t="shared" si="17"/>
        <v>6</v>
      </c>
      <c r="I145" s="199">
        <f t="shared" si="18"/>
        <v>0.2857142857142857</v>
      </c>
      <c r="U145" s="161"/>
    </row>
    <row r="146" spans="2:21" ht="13.5" thickBot="1">
      <c r="B146" s="108"/>
      <c r="C146" s="108"/>
      <c r="D146" s="110"/>
      <c r="E146" s="137"/>
      <c r="F146" s="137"/>
      <c r="G146" s="137"/>
      <c r="H146" s="114">
        <f t="shared" si="17"/>
        <v>0</v>
      </c>
      <c r="I146" s="115" t="e">
        <f t="shared" si="18"/>
        <v>#DIV/0!</v>
      </c>
      <c r="U146" s="161"/>
    </row>
    <row r="147" spans="2:21" ht="12.75">
      <c r="B147" s="278" t="s">
        <v>7</v>
      </c>
      <c r="C147" s="281"/>
      <c r="D147" s="279"/>
      <c r="E147" s="22">
        <f>SUM(E137:E146)</f>
        <v>132</v>
      </c>
      <c r="F147" s="22">
        <f>SUM(F137:F146)</f>
        <v>11</v>
      </c>
      <c r="G147" s="22">
        <f>SUM(G137:G146)</f>
        <v>44</v>
      </c>
      <c r="H147" s="22">
        <f t="shared" si="17"/>
        <v>55</v>
      </c>
      <c r="I147" s="23">
        <f t="shared" si="18"/>
        <v>0.4166666666666667</v>
      </c>
      <c r="U147" s="161"/>
    </row>
    <row r="148" ht="12.75">
      <c r="U148" s="161"/>
    </row>
    <row r="149" spans="2:21" ht="13.5">
      <c r="B149" s="251" t="s">
        <v>141</v>
      </c>
      <c r="C149" s="252"/>
      <c r="D149" s="252"/>
      <c r="E149" s="252"/>
      <c r="F149" s="252"/>
      <c r="G149" s="252"/>
      <c r="H149" s="252"/>
      <c r="I149" s="252"/>
      <c r="J149" s="252"/>
      <c r="K149" s="253"/>
      <c r="U149" s="161"/>
    </row>
    <row r="150" spans="2:21" ht="13.5" thickBot="1">
      <c r="B150" s="54" t="s">
        <v>15</v>
      </c>
      <c r="C150" s="54" t="s">
        <v>16</v>
      </c>
      <c r="D150" s="54" t="s">
        <v>17</v>
      </c>
      <c r="E150" s="54" t="s">
        <v>2</v>
      </c>
      <c r="F150" s="54" t="s">
        <v>18</v>
      </c>
      <c r="G150" s="54" t="s">
        <v>19</v>
      </c>
      <c r="H150" s="54" t="s">
        <v>20</v>
      </c>
      <c r="I150" s="54" t="s">
        <v>21</v>
      </c>
      <c r="J150" s="54" t="s">
        <v>22</v>
      </c>
      <c r="K150" s="54" t="s">
        <v>6</v>
      </c>
      <c r="U150" s="161"/>
    </row>
    <row r="151" spans="2:21" ht="13.5" thickTop="1">
      <c r="B151" s="121"/>
      <c r="C151" s="121"/>
      <c r="D151" s="215"/>
      <c r="E151" s="179"/>
      <c r="F151" s="179"/>
      <c r="G151" s="179"/>
      <c r="H151" s="179"/>
      <c r="I151" s="179"/>
      <c r="J151" s="179"/>
      <c r="K151" s="103">
        <f>(F151*2)+G151+(H151*4)+(I151*10)+J151</f>
        <v>0</v>
      </c>
      <c r="U151" s="161"/>
    </row>
    <row r="152" spans="2:21" ht="12.75">
      <c r="B152" s="108">
        <f>'[1]Pool-gardien'!$B$72</f>
        <v>25.15890410958904</v>
      </c>
      <c r="C152" s="108" t="str">
        <f>'[1]Pool-gardien'!$C$72</f>
        <v>Dal</v>
      </c>
      <c r="D152" s="110" t="str">
        <f>'[1]Pool-gardien'!$D$72</f>
        <v>Tobia Stephan</v>
      </c>
      <c r="E152" s="109">
        <f>('[1]Pool-gardien'!$E$72)-4</f>
        <v>5</v>
      </c>
      <c r="F152" s="109">
        <f>('[1]Pool-gardien'!$F$72)-1</f>
        <v>0</v>
      </c>
      <c r="G152" s="109">
        <f>('[1]Pool-gardien'!$G$72)-0</f>
        <v>0</v>
      </c>
      <c r="H152" s="109">
        <f>('[1]Pool-gardien'!$H$72)-0</f>
        <v>0</v>
      </c>
      <c r="I152" s="109">
        <f>('[1]Pool-gardien'!$I$72)-0</f>
        <v>0</v>
      </c>
      <c r="J152" s="109">
        <f>('[1]Pool-gardien'!$J$72)-1</f>
        <v>0</v>
      </c>
      <c r="K152" s="14">
        <f>(F152*2)+G152+(H152*4)+(I152*10)+J152</f>
        <v>0</v>
      </c>
      <c r="U152" s="161"/>
    </row>
    <row r="153" spans="2:21" ht="13.5" thickBot="1">
      <c r="B153" s="109">
        <f>'[1]Pool-gardien'!$B$59</f>
        <v>21.54794520547945</v>
      </c>
      <c r="C153" s="109" t="str">
        <f>'[1]Pool-gardien'!$C$59</f>
        <v>Atl</v>
      </c>
      <c r="D153" s="111" t="str">
        <f>'[1]Pool-gardien'!$D$59</f>
        <v>Ondrej Pavelec</v>
      </c>
      <c r="E153" s="113">
        <f>('[1]Pool-gardien'!$E$59)-9</f>
        <v>2</v>
      </c>
      <c r="F153" s="113">
        <f>('[1]Pool-gardien'!$F$59)-2</f>
        <v>1</v>
      </c>
      <c r="G153" s="113">
        <f>('[1]Pool-gardien'!$G$59)</f>
        <v>0</v>
      </c>
      <c r="H153" s="113">
        <f>('[1]Pool-gardien'!$H$59)</f>
        <v>0</v>
      </c>
      <c r="I153" s="113">
        <f>('[1]Pool-gardien'!$I$59)</f>
        <v>0</v>
      </c>
      <c r="J153" s="113">
        <f>('[1]Pool-gardien'!$J$59)</f>
        <v>0</v>
      </c>
      <c r="K153" s="36">
        <f>(F153*2)+G153+(H153*4)+(I153*10)+J153</f>
        <v>2</v>
      </c>
      <c r="U153" s="161"/>
    </row>
    <row r="154" spans="2:21" ht="12.75">
      <c r="B154" s="329" t="s">
        <v>26</v>
      </c>
      <c r="C154" s="330"/>
      <c r="D154" s="336"/>
      <c r="E154" s="14">
        <f aca="true" t="shared" si="19" ref="E154:J154">SUM(E150:E153)</f>
        <v>7</v>
      </c>
      <c r="F154" s="14">
        <f t="shared" si="19"/>
        <v>1</v>
      </c>
      <c r="G154" s="14">
        <f t="shared" si="19"/>
        <v>0</v>
      </c>
      <c r="H154" s="14">
        <f t="shared" si="19"/>
        <v>0</v>
      </c>
      <c r="I154" s="14">
        <f t="shared" si="19"/>
        <v>0</v>
      </c>
      <c r="J154" s="14">
        <f t="shared" si="19"/>
        <v>0</v>
      </c>
      <c r="K154" s="14">
        <f>(F154*2)+G154+(H154*4)+(I154*10)+J154</f>
        <v>2</v>
      </c>
      <c r="U154" s="161"/>
    </row>
    <row r="155" spans="2:21" ht="13.5">
      <c r="B155" s="251" t="s">
        <v>27</v>
      </c>
      <c r="C155" s="252"/>
      <c r="D155" s="252"/>
      <c r="E155" s="252"/>
      <c r="F155" s="252"/>
      <c r="G155" s="252"/>
      <c r="H155" s="252"/>
      <c r="I155" s="253"/>
      <c r="U155" s="161"/>
    </row>
    <row r="156" spans="1:21" ht="13.5" thickBot="1">
      <c r="A156" s="54" t="s">
        <v>143</v>
      </c>
      <c r="B156" s="54" t="s">
        <v>15</v>
      </c>
      <c r="C156" s="54" t="s">
        <v>29</v>
      </c>
      <c r="D156" s="54" t="s">
        <v>17</v>
      </c>
      <c r="E156" s="54" t="s">
        <v>2</v>
      </c>
      <c r="F156" s="54" t="s">
        <v>21</v>
      </c>
      <c r="G156" s="54" t="s">
        <v>30</v>
      </c>
      <c r="H156" s="54" t="s">
        <v>6</v>
      </c>
      <c r="I156" s="54" t="s">
        <v>11</v>
      </c>
      <c r="U156" s="161"/>
    </row>
    <row r="157" spans="1:21" ht="13.5" thickTop="1">
      <c r="A157" s="216" t="s">
        <v>144</v>
      </c>
      <c r="B157" s="216">
        <f>'[1]POOL-joueus'!$B$795</f>
        <v>21.53972602739726</v>
      </c>
      <c r="C157" s="216" t="str">
        <f>'[1]POOL-joueus'!$C$795</f>
        <v>Dal</v>
      </c>
      <c r="D157" s="234" t="str">
        <f>'[1]POOL-joueus'!$D$795</f>
        <v>James Neal</v>
      </c>
      <c r="E157" s="216">
        <v>27</v>
      </c>
      <c r="F157" s="216">
        <v>12</v>
      </c>
      <c r="G157" s="216">
        <v>5</v>
      </c>
      <c r="H157" s="195">
        <f>SUM(F157:G157)</f>
        <v>17</v>
      </c>
      <c r="I157" s="182">
        <f>H157/E157</f>
        <v>0.6296296296296297</v>
      </c>
      <c r="U157" s="161"/>
    </row>
    <row r="158" spans="1:21" ht="12.75">
      <c r="A158" s="108" t="s">
        <v>235</v>
      </c>
      <c r="B158" s="108">
        <f>'[1]POOL-joueus'!$B$534</f>
        <v>19.273972602739725</v>
      </c>
      <c r="C158" s="108" t="str">
        <f>'[1]POOL-joueus'!$C$534</f>
        <v>L.A.</v>
      </c>
      <c r="D158" s="110" t="str">
        <f>'[1]POOL-joueus'!$D$534</f>
        <v>Drew Doughty</v>
      </c>
      <c r="E158" s="108">
        <f>(('[1]POOL-joueus'!$E$534)-35)-15</f>
        <v>15</v>
      </c>
      <c r="F158" s="108">
        <f>(('[1]POOL-joueus'!$F$534)-3)</f>
        <v>1</v>
      </c>
      <c r="G158" s="108">
        <f>(('[1]POOL-joueus'!$G$534)-9)-3</f>
        <v>5</v>
      </c>
      <c r="H158" s="22">
        <f>SUM(F158:G158)</f>
        <v>6</v>
      </c>
      <c r="I158" s="23">
        <f>H158/E158</f>
        <v>0.4</v>
      </c>
      <c r="U158" s="161"/>
    </row>
    <row r="159" spans="1:21" ht="13.5" thickBot="1">
      <c r="A159" s="43" t="s">
        <v>144</v>
      </c>
      <c r="B159" s="108">
        <f>'[1]POOL-joueus'!$B$807</f>
        <v>26.21095890410959</v>
      </c>
      <c r="C159" s="108" t="str">
        <f>'[1]POOL-joueus'!$C$807</f>
        <v>Ana</v>
      </c>
      <c r="D159" s="110" t="str">
        <f>'[1]POOL-joueus'!$D$807</f>
        <v>Andrew Ebbett</v>
      </c>
      <c r="E159" s="113">
        <f>('[1]POOL-joueus'!$E$807)-31</f>
        <v>3</v>
      </c>
      <c r="F159" s="113">
        <f>('[1]POOL-joueus'!$F$807)-4</f>
        <v>0</v>
      </c>
      <c r="G159" s="113">
        <f>('[1]POOL-joueus'!$G$807)-18</f>
        <v>0</v>
      </c>
      <c r="H159" s="40">
        <f>SUM(F159:G159)</f>
        <v>0</v>
      </c>
      <c r="I159" s="41">
        <f>H159/E159</f>
        <v>0</v>
      </c>
      <c r="U159" s="161"/>
    </row>
    <row r="160" spans="2:21" ht="12.75">
      <c r="B160" s="278" t="s">
        <v>7</v>
      </c>
      <c r="C160" s="281"/>
      <c r="D160" s="279"/>
      <c r="E160" s="22">
        <f>SUM(E157:E159)</f>
        <v>45</v>
      </c>
      <c r="F160" s="22">
        <f>SUM(F157:F159)</f>
        <v>13</v>
      </c>
      <c r="G160" s="22">
        <f>SUM(G157:G159)</f>
        <v>10</v>
      </c>
      <c r="H160" s="22">
        <f>SUM(F160:G160)</f>
        <v>23</v>
      </c>
      <c r="I160" s="23">
        <f>H160/E160</f>
        <v>0.5111111111111111</v>
      </c>
      <c r="U160" s="161"/>
    </row>
    <row r="161" spans="2:21" ht="12.75">
      <c r="B161" s="76"/>
      <c r="C161" s="76"/>
      <c r="D161" s="76"/>
      <c r="E161" s="53"/>
      <c r="F161" s="53"/>
      <c r="G161" s="53"/>
      <c r="H161" s="53"/>
      <c r="I161" s="77"/>
      <c r="U161" s="161"/>
    </row>
    <row r="162" spans="2:21" ht="12.75">
      <c r="B162" s="278" t="s">
        <v>142</v>
      </c>
      <c r="C162" s="281"/>
      <c r="D162" s="279"/>
      <c r="E162" s="109">
        <f>E154+E160</f>
        <v>52</v>
      </c>
      <c r="F162" s="112"/>
      <c r="G162" s="112"/>
      <c r="H162" s="28">
        <f>K154+H160</f>
        <v>25</v>
      </c>
      <c r="I162" s="29">
        <f>H162/E162</f>
        <v>0.4807692307692308</v>
      </c>
      <c r="U162" s="161"/>
    </row>
    <row r="163" spans="2:21" ht="12.75">
      <c r="B163" s="76"/>
      <c r="C163" s="76"/>
      <c r="D163" s="76"/>
      <c r="E163" s="53"/>
      <c r="F163" s="53"/>
      <c r="G163" s="53"/>
      <c r="H163" s="53"/>
      <c r="I163" s="77"/>
      <c r="M163" s="2"/>
      <c r="N163" s="81"/>
      <c r="O163" s="81"/>
      <c r="P163" s="81"/>
      <c r="Q163" s="81"/>
      <c r="R163" s="81"/>
      <c r="S163" s="81"/>
      <c r="U163" s="161"/>
    </row>
    <row r="164" spans="2:21" ht="13.5" thickBot="1">
      <c r="B164" s="78"/>
      <c r="C164" s="78"/>
      <c r="D164" s="78"/>
      <c r="E164" s="79"/>
      <c r="F164" s="79"/>
      <c r="G164" s="79"/>
      <c r="H164" s="79"/>
      <c r="I164" s="80"/>
      <c r="J164" s="81"/>
      <c r="K164" s="81"/>
      <c r="L164" s="81"/>
      <c r="M164" s="2"/>
      <c r="U164" s="161"/>
    </row>
    <row r="165" spans="14:15" ht="14.25" thickBot="1" thickTop="1">
      <c r="N165" s="135" t="s">
        <v>70</v>
      </c>
      <c r="O165" s="134"/>
    </row>
    <row r="166" spans="2:15" ht="14.25" thickBot="1">
      <c r="B166" s="284" t="s">
        <v>49</v>
      </c>
      <c r="C166" s="285"/>
      <c r="D166" s="285"/>
      <c r="E166" s="285"/>
      <c r="F166" s="285"/>
      <c r="G166" s="285"/>
      <c r="H166" s="285"/>
      <c r="I166" s="285"/>
      <c r="J166" s="285"/>
      <c r="K166" s="286"/>
      <c r="N166" s="86" t="s">
        <v>82</v>
      </c>
      <c r="O166" s="86" t="s">
        <v>81</v>
      </c>
    </row>
    <row r="167" spans="2:15" ht="12.75">
      <c r="B167" s="287" t="s">
        <v>50</v>
      </c>
      <c r="C167" s="288"/>
      <c r="D167" s="58" t="s">
        <v>51</v>
      </c>
      <c r="E167" s="313" t="s">
        <v>52</v>
      </c>
      <c r="F167" s="314"/>
      <c r="G167" s="287" t="s">
        <v>53</v>
      </c>
      <c r="H167" s="289"/>
      <c r="I167" s="288"/>
      <c r="J167" s="287" t="s">
        <v>54</v>
      </c>
      <c r="K167" s="288"/>
      <c r="N167" s="85" t="s">
        <v>71</v>
      </c>
      <c r="O167" s="87">
        <v>6</v>
      </c>
    </row>
    <row r="168" spans="2:15" ht="26.25" thickBot="1">
      <c r="B168" s="259" t="s">
        <v>207</v>
      </c>
      <c r="C168" s="260"/>
      <c r="D168" s="151" t="s">
        <v>218</v>
      </c>
      <c r="E168" s="259" t="s">
        <v>212</v>
      </c>
      <c r="F168" s="260"/>
      <c r="G168" s="262" t="s">
        <v>219</v>
      </c>
      <c r="H168" s="291"/>
      <c r="I168" s="292"/>
      <c r="J168" s="334" t="s">
        <v>220</v>
      </c>
      <c r="K168" s="335"/>
      <c r="N168" s="83" t="s">
        <v>72</v>
      </c>
      <c r="O168" s="88">
        <v>9</v>
      </c>
    </row>
    <row r="169" spans="2:15" ht="13.5" thickTop="1">
      <c r="B169" s="259" t="s">
        <v>244</v>
      </c>
      <c r="C169" s="260"/>
      <c r="D169" s="47" t="s">
        <v>245</v>
      </c>
      <c r="E169" s="259" t="s">
        <v>241</v>
      </c>
      <c r="F169" s="260"/>
      <c r="G169" s="259" t="s">
        <v>246</v>
      </c>
      <c r="H169" s="261"/>
      <c r="I169" s="260"/>
      <c r="J169" s="259" t="s">
        <v>247</v>
      </c>
      <c r="K169" s="260"/>
      <c r="N169" s="91" t="s">
        <v>238</v>
      </c>
      <c r="O169" s="92">
        <f>SUM(O167:O168)</f>
        <v>15</v>
      </c>
    </row>
    <row r="170" spans="2:15" ht="12.75">
      <c r="B170" s="259" t="s">
        <v>77</v>
      </c>
      <c r="C170" s="260"/>
      <c r="D170" s="47" t="s">
        <v>265</v>
      </c>
      <c r="E170" s="259" t="s">
        <v>250</v>
      </c>
      <c r="F170" s="260"/>
      <c r="G170" s="259" t="s">
        <v>266</v>
      </c>
      <c r="H170" s="261"/>
      <c r="I170" s="260"/>
      <c r="J170" s="259" t="s">
        <v>267</v>
      </c>
      <c r="K170" s="260"/>
      <c r="N170" s="84"/>
      <c r="O170" s="89"/>
    </row>
    <row r="171" spans="2:15" ht="12.75">
      <c r="B171" s="259" t="s">
        <v>234</v>
      </c>
      <c r="C171" s="260"/>
      <c r="D171" s="47" t="s">
        <v>298</v>
      </c>
      <c r="E171" s="259" t="s">
        <v>250</v>
      </c>
      <c r="F171" s="260"/>
      <c r="G171" s="259" t="s">
        <v>299</v>
      </c>
      <c r="H171" s="261"/>
      <c r="I171" s="260"/>
      <c r="J171" s="259" t="s">
        <v>300</v>
      </c>
      <c r="K171" s="260"/>
      <c r="N171" s="83" t="s">
        <v>73</v>
      </c>
      <c r="O171" s="90">
        <v>3</v>
      </c>
    </row>
    <row r="172" spans="2:15" ht="12.75">
      <c r="B172" s="259" t="s">
        <v>234</v>
      </c>
      <c r="C172" s="260"/>
      <c r="D172" s="47" t="s">
        <v>316</v>
      </c>
      <c r="E172" s="259" t="s">
        <v>250</v>
      </c>
      <c r="F172" s="260"/>
      <c r="G172" s="259" t="s">
        <v>317</v>
      </c>
      <c r="H172" s="261"/>
      <c r="I172" s="260"/>
      <c r="J172" s="259" t="s">
        <v>318</v>
      </c>
      <c r="K172" s="260"/>
      <c r="N172" s="83" t="s">
        <v>74</v>
      </c>
      <c r="O172" s="90">
        <v>39</v>
      </c>
    </row>
    <row r="173" spans="2:15" ht="12.75">
      <c r="B173" s="259" t="s">
        <v>234</v>
      </c>
      <c r="C173" s="260"/>
      <c r="D173" s="47" t="s">
        <v>390</v>
      </c>
      <c r="E173" s="259" t="s">
        <v>250</v>
      </c>
      <c r="F173" s="260"/>
      <c r="G173" s="259" t="s">
        <v>391</v>
      </c>
      <c r="H173" s="261"/>
      <c r="I173" s="260"/>
      <c r="J173" s="259" t="s">
        <v>392</v>
      </c>
      <c r="K173" s="260"/>
      <c r="N173" s="83" t="s">
        <v>75</v>
      </c>
      <c r="O173" s="90"/>
    </row>
    <row r="174" spans="2:15" ht="12.75">
      <c r="B174" s="259" t="s">
        <v>244</v>
      </c>
      <c r="C174" s="260"/>
      <c r="D174" s="47" t="s">
        <v>413</v>
      </c>
      <c r="E174" s="259" t="s">
        <v>241</v>
      </c>
      <c r="F174" s="260"/>
      <c r="G174" s="259" t="s">
        <v>414</v>
      </c>
      <c r="H174" s="261"/>
      <c r="I174" s="260"/>
      <c r="J174" s="259" t="s">
        <v>415</v>
      </c>
      <c r="K174" s="260"/>
      <c r="N174" s="83" t="s">
        <v>76</v>
      </c>
      <c r="O174" s="90"/>
    </row>
    <row r="175" spans="2:15" ht="12.75">
      <c r="B175" s="259" t="s">
        <v>308</v>
      </c>
      <c r="C175" s="260"/>
      <c r="D175" s="47" t="s">
        <v>391</v>
      </c>
      <c r="E175" s="259" t="s">
        <v>250</v>
      </c>
      <c r="F175" s="260"/>
      <c r="G175" s="259" t="s">
        <v>390</v>
      </c>
      <c r="H175" s="261"/>
      <c r="I175" s="260"/>
      <c r="J175" s="259" t="s">
        <v>409</v>
      </c>
      <c r="K175" s="260"/>
      <c r="N175" s="83" t="s">
        <v>79</v>
      </c>
      <c r="O175" s="90"/>
    </row>
    <row r="176" spans="2:15" ht="12.75">
      <c r="B176" s="259" t="s">
        <v>234</v>
      </c>
      <c r="C176" s="260"/>
      <c r="D176" s="47" t="s">
        <v>441</v>
      </c>
      <c r="E176" s="259" t="s">
        <v>250</v>
      </c>
      <c r="F176" s="260"/>
      <c r="G176" s="259" t="s">
        <v>442</v>
      </c>
      <c r="H176" s="261"/>
      <c r="I176" s="260"/>
      <c r="J176" s="259" t="s">
        <v>443</v>
      </c>
      <c r="K176" s="260"/>
      <c r="N176" s="83" t="s">
        <v>77</v>
      </c>
      <c r="O176" s="90">
        <v>4</v>
      </c>
    </row>
    <row r="177" spans="2:15" ht="12.75">
      <c r="B177" s="259" t="s">
        <v>71</v>
      </c>
      <c r="C177" s="260"/>
      <c r="D177" s="47" t="s">
        <v>451</v>
      </c>
      <c r="E177" s="259" t="s">
        <v>250</v>
      </c>
      <c r="F177" s="260"/>
      <c r="G177" s="259" t="s">
        <v>452</v>
      </c>
      <c r="H177" s="261"/>
      <c r="I177" s="260"/>
      <c r="J177" s="259" t="s">
        <v>453</v>
      </c>
      <c r="K177" s="260"/>
      <c r="N177" s="83" t="s">
        <v>78</v>
      </c>
      <c r="O177" s="90"/>
    </row>
    <row r="178" spans="2:15" ht="12.75">
      <c r="B178" s="259" t="s">
        <v>516</v>
      </c>
      <c r="C178" s="260"/>
      <c r="D178" s="47" t="s">
        <v>517</v>
      </c>
      <c r="E178" s="259" t="s">
        <v>250</v>
      </c>
      <c r="F178" s="260"/>
      <c r="G178" s="259" t="s">
        <v>265</v>
      </c>
      <c r="H178" s="261"/>
      <c r="I178" s="260"/>
      <c r="J178" s="259" t="s">
        <v>518</v>
      </c>
      <c r="K178" s="260"/>
      <c r="N178" s="84"/>
      <c r="O178" s="89"/>
    </row>
    <row r="179" spans="2:15" ht="12.75">
      <c r="B179" s="259" t="s">
        <v>234</v>
      </c>
      <c r="C179" s="260"/>
      <c r="D179" s="47" t="s">
        <v>530</v>
      </c>
      <c r="E179" s="259" t="s">
        <v>250</v>
      </c>
      <c r="F179" s="260"/>
      <c r="G179" s="259" t="s">
        <v>451</v>
      </c>
      <c r="H179" s="261"/>
      <c r="I179" s="260"/>
      <c r="J179" s="259" t="s">
        <v>518</v>
      </c>
      <c r="K179" s="260"/>
      <c r="N179" s="93" t="s">
        <v>80</v>
      </c>
      <c r="O179" s="94">
        <f>SUM(O169:O177)</f>
        <v>61</v>
      </c>
    </row>
    <row r="180" spans="2:11" ht="12.75">
      <c r="B180" s="259" t="s">
        <v>71</v>
      </c>
      <c r="C180" s="260"/>
      <c r="D180" s="47" t="s">
        <v>531</v>
      </c>
      <c r="E180" s="259" t="s">
        <v>250</v>
      </c>
      <c r="F180" s="260"/>
      <c r="G180" s="259" t="s">
        <v>532</v>
      </c>
      <c r="H180" s="261"/>
      <c r="I180" s="260"/>
      <c r="J180" s="259" t="s">
        <v>518</v>
      </c>
      <c r="K180" s="260"/>
    </row>
    <row r="181" spans="2:11" ht="12.75">
      <c r="B181" s="259" t="s">
        <v>308</v>
      </c>
      <c r="C181" s="260"/>
      <c r="D181" s="47" t="s">
        <v>533</v>
      </c>
      <c r="E181" s="259" t="s">
        <v>250</v>
      </c>
      <c r="F181" s="260"/>
      <c r="G181" s="259" t="s">
        <v>534</v>
      </c>
      <c r="H181" s="261"/>
      <c r="I181" s="260"/>
      <c r="J181" s="259" t="s">
        <v>535</v>
      </c>
      <c r="K181" s="260"/>
    </row>
    <row r="182" spans="2:11" ht="12.75">
      <c r="B182" s="259" t="s">
        <v>308</v>
      </c>
      <c r="C182" s="260"/>
      <c r="D182" s="47" t="s">
        <v>451</v>
      </c>
      <c r="E182" s="259" t="s">
        <v>250</v>
      </c>
      <c r="F182" s="260"/>
      <c r="G182" s="259" t="s">
        <v>546</v>
      </c>
      <c r="H182" s="261"/>
      <c r="I182" s="260"/>
      <c r="J182" s="259" t="s">
        <v>547</v>
      </c>
      <c r="K182" s="260"/>
    </row>
    <row r="183" spans="2:11" ht="12.75">
      <c r="B183" s="259" t="s">
        <v>71</v>
      </c>
      <c r="C183" s="260"/>
      <c r="D183" s="47" t="s">
        <v>317</v>
      </c>
      <c r="E183" s="259" t="s">
        <v>250</v>
      </c>
      <c r="F183" s="260"/>
      <c r="G183" s="259" t="s">
        <v>554</v>
      </c>
      <c r="H183" s="261"/>
      <c r="I183" s="260"/>
      <c r="J183" s="259" t="s">
        <v>555</v>
      </c>
      <c r="K183" s="260"/>
    </row>
    <row r="184" spans="2:11" ht="12.75">
      <c r="B184" s="259" t="s">
        <v>234</v>
      </c>
      <c r="C184" s="260"/>
      <c r="D184" s="47" t="s">
        <v>530</v>
      </c>
      <c r="E184" s="259" t="s">
        <v>250</v>
      </c>
      <c r="F184" s="260"/>
      <c r="G184" s="259" t="s">
        <v>451</v>
      </c>
      <c r="H184" s="261"/>
      <c r="I184" s="260"/>
      <c r="J184" s="259" t="s">
        <v>568</v>
      </c>
      <c r="K184" s="260"/>
    </row>
    <row r="185" spans="2:11" ht="12.75">
      <c r="B185" s="259" t="s">
        <v>244</v>
      </c>
      <c r="C185" s="260"/>
      <c r="D185" s="47" t="s">
        <v>587</v>
      </c>
      <c r="E185" s="259" t="s">
        <v>241</v>
      </c>
      <c r="F185" s="260"/>
      <c r="G185" s="259" t="s">
        <v>588</v>
      </c>
      <c r="H185" s="261"/>
      <c r="I185" s="260"/>
      <c r="J185" s="259" t="s">
        <v>589</v>
      </c>
      <c r="K185" s="260"/>
    </row>
    <row r="186" spans="2:11" ht="12.75">
      <c r="B186" s="259" t="s">
        <v>308</v>
      </c>
      <c r="C186" s="260"/>
      <c r="D186" s="47" t="s">
        <v>442</v>
      </c>
      <c r="E186" s="259" t="s">
        <v>250</v>
      </c>
      <c r="F186" s="260"/>
      <c r="G186" s="259" t="s">
        <v>441</v>
      </c>
      <c r="H186" s="261"/>
      <c r="I186" s="260"/>
      <c r="J186" s="259" t="s">
        <v>604</v>
      </c>
      <c r="K186" s="260"/>
    </row>
    <row r="187" spans="2:11" ht="12.75">
      <c r="B187" s="259" t="s">
        <v>234</v>
      </c>
      <c r="C187" s="260"/>
      <c r="D187" s="47" t="s">
        <v>652</v>
      </c>
      <c r="E187" s="259" t="s">
        <v>250</v>
      </c>
      <c r="F187" s="260"/>
      <c r="G187" s="259" t="s">
        <v>653</v>
      </c>
      <c r="H187" s="261"/>
      <c r="I187" s="260"/>
      <c r="J187" s="259" t="s">
        <v>654</v>
      </c>
      <c r="K187" s="260"/>
    </row>
    <row r="188" spans="2:11" ht="12.75">
      <c r="B188" s="259" t="s">
        <v>234</v>
      </c>
      <c r="C188" s="260"/>
      <c r="D188" s="47" t="s">
        <v>716</v>
      </c>
      <c r="E188" s="259" t="s">
        <v>250</v>
      </c>
      <c r="F188" s="260"/>
      <c r="G188" s="259" t="s">
        <v>442</v>
      </c>
      <c r="H188" s="261"/>
      <c r="I188" s="260"/>
      <c r="J188" s="259" t="s">
        <v>717</v>
      </c>
      <c r="K188" s="260"/>
    </row>
    <row r="189" spans="2:11" ht="12.75">
      <c r="B189" s="259" t="s">
        <v>234</v>
      </c>
      <c r="C189" s="260"/>
      <c r="D189" s="47" t="s">
        <v>761</v>
      </c>
      <c r="E189" s="259" t="s">
        <v>250</v>
      </c>
      <c r="F189" s="260"/>
      <c r="G189" s="259" t="s">
        <v>299</v>
      </c>
      <c r="H189" s="261"/>
      <c r="I189" s="260"/>
      <c r="J189" s="259" t="s">
        <v>762</v>
      </c>
      <c r="K189" s="260"/>
    </row>
    <row r="190" spans="2:11" ht="12.75">
      <c r="B190" s="259" t="s">
        <v>308</v>
      </c>
      <c r="C190" s="260"/>
      <c r="D190" s="47" t="s">
        <v>773</v>
      </c>
      <c r="E190" s="259" t="s">
        <v>250</v>
      </c>
      <c r="F190" s="260"/>
      <c r="G190" s="259" t="s">
        <v>774</v>
      </c>
      <c r="H190" s="261"/>
      <c r="I190" s="260"/>
      <c r="J190" s="259" t="s">
        <v>775</v>
      </c>
      <c r="K190" s="260"/>
    </row>
    <row r="191" spans="2:11" ht="38.25">
      <c r="B191" s="259" t="s">
        <v>207</v>
      </c>
      <c r="C191" s="260"/>
      <c r="D191" s="151" t="s">
        <v>846</v>
      </c>
      <c r="E191" s="259" t="s">
        <v>198</v>
      </c>
      <c r="F191" s="260"/>
      <c r="G191" s="262" t="s">
        <v>847</v>
      </c>
      <c r="H191" s="261"/>
      <c r="I191" s="260"/>
      <c r="J191" s="259" t="s">
        <v>848</v>
      </c>
      <c r="K191" s="260"/>
    </row>
    <row r="192" spans="2:11" ht="12.75">
      <c r="B192" s="259"/>
      <c r="C192" s="260"/>
      <c r="D192" s="259" t="s">
        <v>849</v>
      </c>
      <c r="E192" s="261"/>
      <c r="F192" s="261"/>
      <c r="G192" s="261"/>
      <c r="H192" s="261"/>
      <c r="I192" s="260"/>
      <c r="J192" s="259" t="s">
        <v>850</v>
      </c>
      <c r="K192" s="260"/>
    </row>
    <row r="193" spans="2:11" ht="12.75">
      <c r="B193" s="259" t="s">
        <v>234</v>
      </c>
      <c r="C193" s="260"/>
      <c r="D193" s="47" t="s">
        <v>601</v>
      </c>
      <c r="E193" s="259" t="s">
        <v>250</v>
      </c>
      <c r="F193" s="260"/>
      <c r="G193" s="259" t="s">
        <v>861</v>
      </c>
      <c r="H193" s="261"/>
      <c r="I193" s="260"/>
      <c r="J193" s="259" t="s">
        <v>862</v>
      </c>
      <c r="K193" s="260"/>
    </row>
    <row r="194" spans="2:11" ht="12.75">
      <c r="B194" s="259" t="s">
        <v>234</v>
      </c>
      <c r="C194" s="260"/>
      <c r="D194" s="47" t="s">
        <v>863</v>
      </c>
      <c r="E194" s="259" t="s">
        <v>250</v>
      </c>
      <c r="F194" s="260"/>
      <c r="G194" s="259" t="s">
        <v>442</v>
      </c>
      <c r="H194" s="261"/>
      <c r="I194" s="260"/>
      <c r="J194" s="259" t="s">
        <v>864</v>
      </c>
      <c r="K194" s="260"/>
    </row>
    <row r="195" spans="2:11" ht="12.75">
      <c r="B195" s="259" t="s">
        <v>244</v>
      </c>
      <c r="C195" s="260"/>
      <c r="D195" s="47" t="s">
        <v>868</v>
      </c>
      <c r="E195" s="259" t="s">
        <v>241</v>
      </c>
      <c r="F195" s="260"/>
      <c r="G195" s="259" t="s">
        <v>869</v>
      </c>
      <c r="H195" s="261"/>
      <c r="I195" s="260"/>
      <c r="J195" s="259" t="s">
        <v>870</v>
      </c>
      <c r="K195" s="260"/>
    </row>
    <row r="196" spans="2:11" ht="12.75">
      <c r="B196" s="259" t="s">
        <v>878</v>
      </c>
      <c r="C196" s="260"/>
      <c r="D196" s="47" t="s">
        <v>298</v>
      </c>
      <c r="E196" s="259" t="s">
        <v>250</v>
      </c>
      <c r="F196" s="260"/>
      <c r="G196" s="259" t="s">
        <v>863</v>
      </c>
      <c r="H196" s="261"/>
      <c r="I196" s="260"/>
      <c r="J196" s="259" t="s">
        <v>879</v>
      </c>
      <c r="K196" s="260"/>
    </row>
    <row r="197" spans="2:11" ht="12.75">
      <c r="B197" s="259" t="s">
        <v>234</v>
      </c>
      <c r="C197" s="260"/>
      <c r="D197" s="47" t="s">
        <v>880</v>
      </c>
      <c r="E197" s="259" t="s">
        <v>250</v>
      </c>
      <c r="F197" s="260"/>
      <c r="G197" s="259" t="s">
        <v>881</v>
      </c>
      <c r="H197" s="261"/>
      <c r="I197" s="260"/>
      <c r="J197" s="259" t="s">
        <v>882</v>
      </c>
      <c r="K197" s="260"/>
    </row>
    <row r="198" spans="2:11" ht="12.75">
      <c r="B198" s="259" t="s">
        <v>77</v>
      </c>
      <c r="C198" s="260"/>
      <c r="D198" s="47" t="s">
        <v>265</v>
      </c>
      <c r="E198" s="259" t="s">
        <v>250</v>
      </c>
      <c r="F198" s="260"/>
      <c r="G198" s="259" t="s">
        <v>869</v>
      </c>
      <c r="H198" s="261"/>
      <c r="I198" s="260"/>
      <c r="J198" s="259" t="s">
        <v>883</v>
      </c>
      <c r="K198" s="260"/>
    </row>
    <row r="199" spans="2:11" ht="12.75">
      <c r="B199" s="259" t="s">
        <v>234</v>
      </c>
      <c r="C199" s="260"/>
      <c r="D199" s="47" t="s">
        <v>390</v>
      </c>
      <c r="E199" s="259" t="s">
        <v>250</v>
      </c>
      <c r="F199" s="260"/>
      <c r="G199" s="259" t="s">
        <v>316</v>
      </c>
      <c r="H199" s="261"/>
      <c r="I199" s="260"/>
      <c r="J199" s="259" t="s">
        <v>888</v>
      </c>
      <c r="K199" s="260"/>
    </row>
    <row r="200" spans="2:11" ht="12.75">
      <c r="B200" s="259" t="s">
        <v>878</v>
      </c>
      <c r="C200" s="260"/>
      <c r="D200" s="47" t="s">
        <v>316</v>
      </c>
      <c r="E200" s="259" t="s">
        <v>250</v>
      </c>
      <c r="F200" s="260"/>
      <c r="G200" s="259" t="s">
        <v>653</v>
      </c>
      <c r="H200" s="261"/>
      <c r="I200" s="260"/>
      <c r="J200" s="259" t="s">
        <v>913</v>
      </c>
      <c r="K200" s="260"/>
    </row>
    <row r="201" spans="2:11" ht="12.75">
      <c r="B201" s="259" t="s">
        <v>244</v>
      </c>
      <c r="C201" s="260"/>
      <c r="D201" s="47" t="s">
        <v>901</v>
      </c>
      <c r="E201" s="259" t="s">
        <v>241</v>
      </c>
      <c r="F201" s="260"/>
      <c r="G201" s="259" t="s">
        <v>902</v>
      </c>
      <c r="H201" s="261"/>
      <c r="I201" s="260"/>
      <c r="J201" s="259" t="s">
        <v>912</v>
      </c>
      <c r="K201" s="260"/>
    </row>
    <row r="202" spans="2:11" ht="12.75">
      <c r="B202" s="259" t="s">
        <v>308</v>
      </c>
      <c r="C202" s="260"/>
      <c r="D202" s="47" t="s">
        <v>391</v>
      </c>
      <c r="E202" s="259" t="s">
        <v>250</v>
      </c>
      <c r="F202" s="260"/>
      <c r="G202" s="259" t="s">
        <v>390</v>
      </c>
      <c r="H202" s="261"/>
      <c r="I202" s="260"/>
      <c r="J202" s="259" t="s">
        <v>911</v>
      </c>
      <c r="K202" s="260"/>
    </row>
    <row r="203" spans="2:11" ht="12.75">
      <c r="B203" s="259" t="s">
        <v>71</v>
      </c>
      <c r="C203" s="260"/>
      <c r="D203" s="47" t="s">
        <v>761</v>
      </c>
      <c r="E203" s="259" t="s">
        <v>250</v>
      </c>
      <c r="F203" s="260"/>
      <c r="G203" s="259" t="s">
        <v>915</v>
      </c>
      <c r="H203" s="261"/>
      <c r="I203" s="260"/>
      <c r="J203" s="259" t="s">
        <v>916</v>
      </c>
      <c r="K203" s="260"/>
    </row>
    <row r="204" spans="2:11" ht="12.75">
      <c r="B204" s="259" t="s">
        <v>308</v>
      </c>
      <c r="C204" s="260"/>
      <c r="D204" s="47" t="s">
        <v>861</v>
      </c>
      <c r="E204" s="259" t="s">
        <v>250</v>
      </c>
      <c r="F204" s="260"/>
      <c r="G204" s="259" t="s">
        <v>917</v>
      </c>
      <c r="H204" s="261"/>
      <c r="I204" s="260"/>
      <c r="J204" s="259" t="s">
        <v>916</v>
      </c>
      <c r="K204" s="260"/>
    </row>
    <row r="205" spans="2:11" ht="12.75">
      <c r="B205" s="259" t="s">
        <v>234</v>
      </c>
      <c r="C205" s="260"/>
      <c r="D205" s="47" t="s">
        <v>266</v>
      </c>
      <c r="E205" s="259" t="s">
        <v>250</v>
      </c>
      <c r="F205" s="260"/>
      <c r="G205" s="259" t="s">
        <v>761</v>
      </c>
      <c r="H205" s="261"/>
      <c r="I205" s="260"/>
      <c r="J205" s="259" t="s">
        <v>932</v>
      </c>
      <c r="K205" s="260"/>
    </row>
    <row r="206" spans="2:11" ht="12.75">
      <c r="B206" s="259" t="s">
        <v>244</v>
      </c>
      <c r="C206" s="260"/>
      <c r="D206" s="47" t="s">
        <v>950</v>
      </c>
      <c r="E206" s="259" t="s">
        <v>241</v>
      </c>
      <c r="F206" s="260"/>
      <c r="G206" s="259" t="s">
        <v>951</v>
      </c>
      <c r="H206" s="261"/>
      <c r="I206" s="260"/>
      <c r="J206" s="259" t="s">
        <v>952</v>
      </c>
      <c r="K206" s="260"/>
    </row>
    <row r="207" spans="2:11" ht="12.75">
      <c r="B207" s="259" t="s">
        <v>71</v>
      </c>
      <c r="C207" s="260"/>
      <c r="D207" s="47" t="s">
        <v>954</v>
      </c>
      <c r="E207" s="259" t="s">
        <v>250</v>
      </c>
      <c r="F207" s="260"/>
      <c r="G207" s="259" t="s">
        <v>951</v>
      </c>
      <c r="H207" s="261"/>
      <c r="I207" s="260"/>
      <c r="J207" s="259" t="s">
        <v>955</v>
      </c>
      <c r="K207" s="260"/>
    </row>
    <row r="208" spans="2:11" ht="12.75">
      <c r="B208" s="259" t="s">
        <v>77</v>
      </c>
      <c r="C208" s="260"/>
      <c r="D208" s="47" t="s">
        <v>915</v>
      </c>
      <c r="E208" s="259" t="s">
        <v>250</v>
      </c>
      <c r="F208" s="260"/>
      <c r="G208" s="259" t="s">
        <v>442</v>
      </c>
      <c r="H208" s="261"/>
      <c r="I208" s="260"/>
      <c r="J208" s="259" t="s">
        <v>955</v>
      </c>
      <c r="K208" s="260"/>
    </row>
    <row r="209" spans="2:11" ht="12.75">
      <c r="B209" s="259" t="s">
        <v>234</v>
      </c>
      <c r="C209" s="260"/>
      <c r="D209" s="47" t="s">
        <v>966</v>
      </c>
      <c r="E209" s="259" t="s">
        <v>250</v>
      </c>
      <c r="F209" s="260"/>
      <c r="G209" s="259" t="s">
        <v>967</v>
      </c>
      <c r="H209" s="261"/>
      <c r="I209" s="260"/>
      <c r="J209" s="259" t="s">
        <v>968</v>
      </c>
      <c r="K209" s="260"/>
    </row>
    <row r="210" spans="2:11" ht="12.75">
      <c r="B210" s="259" t="s">
        <v>308</v>
      </c>
      <c r="C210" s="260"/>
      <c r="D210" s="47" t="s">
        <v>969</v>
      </c>
      <c r="E210" s="259" t="s">
        <v>250</v>
      </c>
      <c r="F210" s="260"/>
      <c r="G210" s="259" t="s">
        <v>970</v>
      </c>
      <c r="H210" s="261"/>
      <c r="I210" s="260"/>
      <c r="J210" s="259" t="s">
        <v>968</v>
      </c>
      <c r="K210" s="260"/>
    </row>
    <row r="211" spans="2:11" ht="12.75">
      <c r="B211" s="259" t="s">
        <v>308</v>
      </c>
      <c r="C211" s="260"/>
      <c r="D211" s="47" t="s">
        <v>442</v>
      </c>
      <c r="E211" s="259" t="s">
        <v>250</v>
      </c>
      <c r="F211" s="260"/>
      <c r="G211" s="259" t="s">
        <v>628</v>
      </c>
      <c r="H211" s="261"/>
      <c r="I211" s="260"/>
      <c r="J211" s="259" t="s">
        <v>985</v>
      </c>
      <c r="K211" s="260"/>
    </row>
    <row r="212" spans="2:11" ht="12.75">
      <c r="B212" s="259" t="s">
        <v>234</v>
      </c>
      <c r="C212" s="260"/>
      <c r="D212" s="47" t="s">
        <v>652</v>
      </c>
      <c r="E212" s="259" t="s">
        <v>250</v>
      </c>
      <c r="F212" s="260"/>
      <c r="G212" s="259" t="s">
        <v>653</v>
      </c>
      <c r="H212" s="261"/>
      <c r="I212" s="260"/>
      <c r="J212" s="259" t="s">
        <v>998</v>
      </c>
      <c r="K212" s="260"/>
    </row>
    <row r="213" spans="2:11" ht="12.75">
      <c r="B213" s="259" t="s">
        <v>71</v>
      </c>
      <c r="C213" s="260"/>
      <c r="D213" s="47" t="s">
        <v>532</v>
      </c>
      <c r="E213" s="259" t="s">
        <v>250</v>
      </c>
      <c r="F213" s="260"/>
      <c r="G213" s="259" t="s">
        <v>531</v>
      </c>
      <c r="H213" s="261"/>
      <c r="I213" s="260"/>
      <c r="J213" s="259" t="s">
        <v>1020</v>
      </c>
      <c r="K213" s="260"/>
    </row>
    <row r="214" spans="2:11" ht="28.5" customHeight="1">
      <c r="B214" s="259" t="s">
        <v>234</v>
      </c>
      <c r="C214" s="260"/>
      <c r="D214" s="47" t="s">
        <v>317</v>
      </c>
      <c r="E214" s="259" t="s">
        <v>250</v>
      </c>
      <c r="F214" s="260"/>
      <c r="G214" s="259" t="s">
        <v>1018</v>
      </c>
      <c r="H214" s="261"/>
      <c r="I214" s="260"/>
      <c r="J214" s="259" t="s">
        <v>1019</v>
      </c>
      <c r="K214" s="260"/>
    </row>
    <row r="215" spans="2:11" ht="12.75">
      <c r="B215" s="259" t="s">
        <v>234</v>
      </c>
      <c r="C215" s="260"/>
      <c r="D215" s="47" t="s">
        <v>1024</v>
      </c>
      <c r="E215" s="259" t="s">
        <v>250</v>
      </c>
      <c r="F215" s="260"/>
      <c r="G215" s="259" t="s">
        <v>954</v>
      </c>
      <c r="H215" s="261"/>
      <c r="I215" s="260"/>
      <c r="J215" s="259" t="s">
        <v>1025</v>
      </c>
      <c r="K215" s="260"/>
    </row>
    <row r="216" spans="2:11" ht="12.75">
      <c r="B216" s="259" t="s">
        <v>234</v>
      </c>
      <c r="C216" s="260"/>
      <c r="D216" s="47" t="s">
        <v>451</v>
      </c>
      <c r="E216" s="259" t="s">
        <v>250</v>
      </c>
      <c r="F216" s="260"/>
      <c r="G216" s="259" t="s">
        <v>1038</v>
      </c>
      <c r="H216" s="261"/>
      <c r="I216" s="260"/>
      <c r="J216" s="259" t="s">
        <v>1036</v>
      </c>
      <c r="K216" s="260"/>
    </row>
    <row r="217" spans="2:11" ht="12.75">
      <c r="B217" s="259" t="s">
        <v>308</v>
      </c>
      <c r="C217" s="260"/>
      <c r="D217" s="47" t="s">
        <v>601</v>
      </c>
      <c r="E217" s="259" t="s">
        <v>250</v>
      </c>
      <c r="F217" s="260"/>
      <c r="G217" s="259" t="s">
        <v>451</v>
      </c>
      <c r="H217" s="261"/>
      <c r="I217" s="260"/>
      <c r="J217" s="259" t="s">
        <v>1058</v>
      </c>
      <c r="K217" s="260"/>
    </row>
    <row r="218" spans="2:11" ht="12.75">
      <c r="B218" s="259" t="s">
        <v>308</v>
      </c>
      <c r="C218" s="260"/>
      <c r="D218" s="47" t="s">
        <v>1062</v>
      </c>
      <c r="E218" s="259" t="s">
        <v>250</v>
      </c>
      <c r="F218" s="260"/>
      <c r="G218" s="259" t="s">
        <v>1063</v>
      </c>
      <c r="H218" s="261"/>
      <c r="I218" s="260"/>
      <c r="J218" s="259" t="s">
        <v>1064</v>
      </c>
      <c r="K218" s="260"/>
    </row>
    <row r="219" spans="2:11" ht="38.25">
      <c r="B219" s="259" t="s">
        <v>207</v>
      </c>
      <c r="C219" s="260"/>
      <c r="D219" s="151" t="s">
        <v>1074</v>
      </c>
      <c r="E219" s="259" t="s">
        <v>212</v>
      </c>
      <c r="F219" s="260"/>
      <c r="G219" s="262" t="s">
        <v>1075</v>
      </c>
      <c r="H219" s="261"/>
      <c r="I219" s="260"/>
      <c r="J219" s="259" t="s">
        <v>1070</v>
      </c>
      <c r="K219" s="260"/>
    </row>
    <row r="220" spans="2:11" ht="12.75">
      <c r="B220" s="262" t="s">
        <v>1076</v>
      </c>
      <c r="C220" s="261"/>
      <c r="D220" s="261"/>
      <c r="E220" s="261"/>
      <c r="F220" s="261"/>
      <c r="G220" s="261"/>
      <c r="H220" s="261"/>
      <c r="I220" s="260"/>
      <c r="J220" s="259" t="s">
        <v>1070</v>
      </c>
      <c r="K220" s="260"/>
    </row>
    <row r="221" spans="2:11" ht="12.75">
      <c r="B221" s="259" t="s">
        <v>244</v>
      </c>
      <c r="C221" s="260"/>
      <c r="D221" s="47" t="s">
        <v>1152</v>
      </c>
      <c r="E221" s="259" t="s">
        <v>241</v>
      </c>
      <c r="F221" s="260"/>
      <c r="G221" s="259" t="s">
        <v>1153</v>
      </c>
      <c r="H221" s="261"/>
      <c r="I221" s="260"/>
      <c r="J221" s="259" t="s">
        <v>1146</v>
      </c>
      <c r="K221" s="260"/>
    </row>
    <row r="222" spans="2:11" ht="12.75">
      <c r="B222" s="259" t="s">
        <v>244</v>
      </c>
      <c r="C222" s="260"/>
      <c r="D222" s="47" t="s">
        <v>1154</v>
      </c>
      <c r="E222" s="259" t="s">
        <v>241</v>
      </c>
      <c r="F222" s="260"/>
      <c r="G222" s="259" t="s">
        <v>1156</v>
      </c>
      <c r="H222" s="261"/>
      <c r="I222" s="260"/>
      <c r="J222" s="259" t="s">
        <v>1146</v>
      </c>
      <c r="K222" s="260"/>
    </row>
    <row r="223" spans="2:11" ht="12.75">
      <c r="B223" s="259" t="s">
        <v>244</v>
      </c>
      <c r="C223" s="260"/>
      <c r="D223" s="47" t="s">
        <v>1155</v>
      </c>
      <c r="E223" s="259" t="s">
        <v>241</v>
      </c>
      <c r="F223" s="260"/>
      <c r="G223" s="259" t="s">
        <v>1157</v>
      </c>
      <c r="H223" s="261"/>
      <c r="I223" s="260"/>
      <c r="J223" s="259" t="s">
        <v>1146</v>
      </c>
      <c r="K223" s="260"/>
    </row>
    <row r="224" spans="2:11" ht="12.75">
      <c r="B224" s="259" t="s">
        <v>234</v>
      </c>
      <c r="C224" s="260"/>
      <c r="D224" s="47" t="s">
        <v>1170</v>
      </c>
      <c r="E224" s="259" t="s">
        <v>250</v>
      </c>
      <c r="F224" s="260"/>
      <c r="G224" s="259" t="s">
        <v>1171</v>
      </c>
      <c r="H224" s="261"/>
      <c r="I224" s="260"/>
      <c r="J224" s="259" t="s">
        <v>1172</v>
      </c>
      <c r="K224" s="260"/>
    </row>
    <row r="225" spans="2:11" ht="12.75">
      <c r="B225" s="259" t="s">
        <v>878</v>
      </c>
      <c r="C225" s="260"/>
      <c r="D225" s="47" t="s">
        <v>675</v>
      </c>
      <c r="E225" s="259" t="s">
        <v>250</v>
      </c>
      <c r="F225" s="260"/>
      <c r="G225" s="259" t="s">
        <v>1176</v>
      </c>
      <c r="H225" s="261"/>
      <c r="I225" s="260"/>
      <c r="J225" s="259" t="s">
        <v>1177</v>
      </c>
      <c r="K225" s="260"/>
    </row>
    <row r="226" spans="2:11" ht="12.75">
      <c r="B226" s="259"/>
      <c r="C226" s="260"/>
      <c r="D226" s="47"/>
      <c r="E226" s="259"/>
      <c r="F226" s="260"/>
      <c r="G226" s="259"/>
      <c r="H226" s="261"/>
      <c r="I226" s="260"/>
      <c r="J226" s="259"/>
      <c r="K226" s="260"/>
    </row>
    <row r="227" spans="2:11" ht="12.75">
      <c r="B227" s="259"/>
      <c r="C227" s="260"/>
      <c r="D227" s="47"/>
      <c r="E227" s="259"/>
      <c r="F227" s="260"/>
      <c r="G227" s="259"/>
      <c r="H227" s="261"/>
      <c r="I227" s="260"/>
      <c r="J227" s="259"/>
      <c r="K227" s="260"/>
    </row>
    <row r="228" spans="2:11" ht="12.75">
      <c r="B228" s="259"/>
      <c r="C228" s="260"/>
      <c r="D228" s="47"/>
      <c r="E228" s="259"/>
      <c r="F228" s="260"/>
      <c r="G228" s="259"/>
      <c r="H228" s="261"/>
      <c r="I228" s="260"/>
      <c r="J228" s="259"/>
      <c r="K228" s="260"/>
    </row>
    <row r="229" spans="2:11" ht="12.75">
      <c r="B229" s="259"/>
      <c r="C229" s="260"/>
      <c r="D229" s="47"/>
      <c r="E229" s="259"/>
      <c r="F229" s="260"/>
      <c r="G229" s="259"/>
      <c r="H229" s="261"/>
      <c r="I229" s="260"/>
      <c r="J229" s="259"/>
      <c r="K229" s="260"/>
    </row>
    <row r="230" spans="2:11" ht="12.75">
      <c r="B230" s="259"/>
      <c r="C230" s="260"/>
      <c r="D230" s="47"/>
      <c r="E230" s="259"/>
      <c r="F230" s="260"/>
      <c r="G230" s="259"/>
      <c r="H230" s="261"/>
      <c r="I230" s="260"/>
      <c r="J230" s="259"/>
      <c r="K230" s="260"/>
    </row>
  </sheetData>
  <mergeCells count="315">
    <mergeCell ref="G208:I208"/>
    <mergeCell ref="G168:I168"/>
    <mergeCell ref="G173:I173"/>
    <mergeCell ref="G172:I172"/>
    <mergeCell ref="G171:I171"/>
    <mergeCell ref="G170:I170"/>
    <mergeCell ref="G176:I176"/>
    <mergeCell ref="G175:I175"/>
    <mergeCell ref="G174:I174"/>
    <mergeCell ref="G169:I169"/>
    <mergeCell ref="G180:I180"/>
    <mergeCell ref="G179:I179"/>
    <mergeCell ref="G178:I178"/>
    <mergeCell ref="G177:I177"/>
    <mergeCell ref="G185:I185"/>
    <mergeCell ref="G184:I184"/>
    <mergeCell ref="G183:I183"/>
    <mergeCell ref="G181:I181"/>
    <mergeCell ref="G182:I182"/>
    <mergeCell ref="G189:I189"/>
    <mergeCell ref="G188:I188"/>
    <mergeCell ref="G187:I187"/>
    <mergeCell ref="G186:I186"/>
    <mergeCell ref="G191:I191"/>
    <mergeCell ref="G190:I190"/>
    <mergeCell ref="D192:I192"/>
    <mergeCell ref="G196:I196"/>
    <mergeCell ref="G195:I195"/>
    <mergeCell ref="G194:I194"/>
    <mergeCell ref="G193:I193"/>
    <mergeCell ref="G201:I201"/>
    <mergeCell ref="E201:F201"/>
    <mergeCell ref="G197:I197"/>
    <mergeCell ref="E200:F200"/>
    <mergeCell ref="G200:I200"/>
    <mergeCell ref="B162:D162"/>
    <mergeCell ref="B149:K149"/>
    <mergeCell ref="B154:D154"/>
    <mergeCell ref="W40:AB40"/>
    <mergeCell ref="B73:K73"/>
    <mergeCell ref="B79:D79"/>
    <mergeCell ref="B86:D86"/>
    <mergeCell ref="AA58:AC58"/>
    <mergeCell ref="W56:AC56"/>
    <mergeCell ref="W58:Y58"/>
    <mergeCell ref="Z11:AA11"/>
    <mergeCell ref="Z30:AA30"/>
    <mergeCell ref="Z31:AA31"/>
    <mergeCell ref="W10:AB10"/>
    <mergeCell ref="X11:Y11"/>
    <mergeCell ref="X30:Y30"/>
    <mergeCell ref="X31:Y31"/>
    <mergeCell ref="X14:Y14"/>
    <mergeCell ref="X32:Y32"/>
    <mergeCell ref="X33:Y33"/>
    <mergeCell ref="X35:Y35"/>
    <mergeCell ref="X34:Y34"/>
    <mergeCell ref="B230:C230"/>
    <mergeCell ref="E230:F230"/>
    <mergeCell ref="G230:I230"/>
    <mergeCell ref="J230:K230"/>
    <mergeCell ref="B229:C229"/>
    <mergeCell ref="E229:F229"/>
    <mergeCell ref="G229:I229"/>
    <mergeCell ref="J229:K229"/>
    <mergeCell ref="B228:C228"/>
    <mergeCell ref="E228:F228"/>
    <mergeCell ref="G228:I228"/>
    <mergeCell ref="J228:K228"/>
    <mergeCell ref="J220:K220"/>
    <mergeCell ref="B227:C227"/>
    <mergeCell ref="E227:F227"/>
    <mergeCell ref="G227:I227"/>
    <mergeCell ref="J227:K227"/>
    <mergeCell ref="B221:C221"/>
    <mergeCell ref="E221:F221"/>
    <mergeCell ref="G221:I221"/>
    <mergeCell ref="J221:K221"/>
    <mergeCell ref="B222:C222"/>
    <mergeCell ref="B219:C219"/>
    <mergeCell ref="E219:F219"/>
    <mergeCell ref="G219:I219"/>
    <mergeCell ref="J219:K219"/>
    <mergeCell ref="B213:C213"/>
    <mergeCell ref="E213:F213"/>
    <mergeCell ref="G213:I213"/>
    <mergeCell ref="J213:K213"/>
    <mergeCell ref="B212:C212"/>
    <mergeCell ref="E212:F212"/>
    <mergeCell ref="G212:I212"/>
    <mergeCell ref="J212:K212"/>
    <mergeCell ref="B211:C211"/>
    <mergeCell ref="E211:F211"/>
    <mergeCell ref="G211:I211"/>
    <mergeCell ref="J211:K211"/>
    <mergeCell ref="J181:K181"/>
    <mergeCell ref="B207:C207"/>
    <mergeCell ref="E207:F207"/>
    <mergeCell ref="G207:I207"/>
    <mergeCell ref="J207:K207"/>
    <mergeCell ref="J185:K185"/>
    <mergeCell ref="J184:K184"/>
    <mergeCell ref="J183:K183"/>
    <mergeCell ref="J182:K182"/>
    <mergeCell ref="J189:K189"/>
    <mergeCell ref="J173:K173"/>
    <mergeCell ref="J180:K180"/>
    <mergeCell ref="J179:K179"/>
    <mergeCell ref="J178:K178"/>
    <mergeCell ref="J177:K177"/>
    <mergeCell ref="J176:K176"/>
    <mergeCell ref="J175:K175"/>
    <mergeCell ref="J174:K174"/>
    <mergeCell ref="J187:K187"/>
    <mergeCell ref="J186:K186"/>
    <mergeCell ref="J192:K192"/>
    <mergeCell ref="J191:K191"/>
    <mergeCell ref="J190:K190"/>
    <mergeCell ref="J195:K195"/>
    <mergeCell ref="J194:K194"/>
    <mergeCell ref="J193:K193"/>
    <mergeCell ref="J188:K188"/>
    <mergeCell ref="J205:K205"/>
    <mergeCell ref="J204:K204"/>
    <mergeCell ref="J208:K208"/>
    <mergeCell ref="J196:K196"/>
    <mergeCell ref="J202:K202"/>
    <mergeCell ref="J203:K203"/>
    <mergeCell ref="J206:K206"/>
    <mergeCell ref="E203:F203"/>
    <mergeCell ref="G203:I203"/>
    <mergeCell ref="B203:C203"/>
    <mergeCell ref="B198:C198"/>
    <mergeCell ref="E198:F198"/>
    <mergeCell ref="G198:I198"/>
    <mergeCell ref="B200:C200"/>
    <mergeCell ref="B199:C199"/>
    <mergeCell ref="E199:F199"/>
    <mergeCell ref="G199:I199"/>
    <mergeCell ref="B197:C197"/>
    <mergeCell ref="E197:F197"/>
    <mergeCell ref="J197:K197"/>
    <mergeCell ref="E209:F209"/>
    <mergeCell ref="G209:I209"/>
    <mergeCell ref="J201:K201"/>
    <mergeCell ref="J200:K200"/>
    <mergeCell ref="J199:K199"/>
    <mergeCell ref="J198:K198"/>
    <mergeCell ref="E202:F202"/>
    <mergeCell ref="E204:F204"/>
    <mergeCell ref="J210:K210"/>
    <mergeCell ref="B210:C210"/>
    <mergeCell ref="B205:C205"/>
    <mergeCell ref="E205:F205"/>
    <mergeCell ref="B206:C206"/>
    <mergeCell ref="E206:F206"/>
    <mergeCell ref="G210:I210"/>
    <mergeCell ref="G206:I206"/>
    <mergeCell ref="E210:F210"/>
    <mergeCell ref="B201:C201"/>
    <mergeCell ref="G202:I202"/>
    <mergeCell ref="J209:K209"/>
    <mergeCell ref="G205:I205"/>
    <mergeCell ref="B209:C209"/>
    <mergeCell ref="B208:C208"/>
    <mergeCell ref="E208:F208"/>
    <mergeCell ref="B202:C202"/>
    <mergeCell ref="B204:C204"/>
    <mergeCell ref="G204:I204"/>
    <mergeCell ref="B196:C196"/>
    <mergeCell ref="E196:F196"/>
    <mergeCell ref="B195:C195"/>
    <mergeCell ref="E195:F195"/>
    <mergeCell ref="B194:C194"/>
    <mergeCell ref="E194:F194"/>
    <mergeCell ref="B193:C193"/>
    <mergeCell ref="E193:F193"/>
    <mergeCell ref="B192:C192"/>
    <mergeCell ref="B191:C191"/>
    <mergeCell ref="E191:F191"/>
    <mergeCell ref="B190:C190"/>
    <mergeCell ref="E190:F190"/>
    <mergeCell ref="B189:C189"/>
    <mergeCell ref="E189:F189"/>
    <mergeCell ref="B188:C188"/>
    <mergeCell ref="E188:F188"/>
    <mergeCell ref="B187:C187"/>
    <mergeCell ref="E187:F187"/>
    <mergeCell ref="B186:C186"/>
    <mergeCell ref="E186:F186"/>
    <mergeCell ref="B185:C185"/>
    <mergeCell ref="E185:F185"/>
    <mergeCell ref="B184:C184"/>
    <mergeCell ref="E184:F184"/>
    <mergeCell ref="B182:C182"/>
    <mergeCell ref="B183:C183"/>
    <mergeCell ref="E183:F183"/>
    <mergeCell ref="E182:F182"/>
    <mergeCell ref="B181:C181"/>
    <mergeCell ref="E181:F181"/>
    <mergeCell ref="B180:C180"/>
    <mergeCell ref="E180:F180"/>
    <mergeCell ref="B179:C179"/>
    <mergeCell ref="E179:F179"/>
    <mergeCell ref="B178:C178"/>
    <mergeCell ref="E178:F178"/>
    <mergeCell ref="B177:C177"/>
    <mergeCell ref="E177:F177"/>
    <mergeCell ref="B176:C176"/>
    <mergeCell ref="E176:F176"/>
    <mergeCell ref="B175:C175"/>
    <mergeCell ref="E175:F175"/>
    <mergeCell ref="B174:C174"/>
    <mergeCell ref="E174:F174"/>
    <mergeCell ref="B173:C173"/>
    <mergeCell ref="E173:F173"/>
    <mergeCell ref="B172:C172"/>
    <mergeCell ref="E172:F172"/>
    <mergeCell ref="B171:C171"/>
    <mergeCell ref="E171:F171"/>
    <mergeCell ref="B170:C170"/>
    <mergeCell ref="E170:F170"/>
    <mergeCell ref="B169:C169"/>
    <mergeCell ref="E169:F169"/>
    <mergeCell ref="B168:C168"/>
    <mergeCell ref="E168:F168"/>
    <mergeCell ref="J172:K172"/>
    <mergeCell ref="J171:K171"/>
    <mergeCell ref="J170:K170"/>
    <mergeCell ref="J169:K169"/>
    <mergeCell ref="J168:K168"/>
    <mergeCell ref="B135:I135"/>
    <mergeCell ref="B147:D147"/>
    <mergeCell ref="B155:I155"/>
    <mergeCell ref="B160:D160"/>
    <mergeCell ref="B166:K166"/>
    <mergeCell ref="B167:C167"/>
    <mergeCell ref="E167:F167"/>
    <mergeCell ref="G167:I167"/>
    <mergeCell ref="J167:K167"/>
    <mergeCell ref="B103:I103"/>
    <mergeCell ref="B120:D120"/>
    <mergeCell ref="B122:I122"/>
    <mergeCell ref="B133:D133"/>
    <mergeCell ref="C91:D91"/>
    <mergeCell ref="C92:D92"/>
    <mergeCell ref="B94:K94"/>
    <mergeCell ref="B101:D101"/>
    <mergeCell ref="B80:I80"/>
    <mergeCell ref="B84:D84"/>
    <mergeCell ref="B88:K88"/>
    <mergeCell ref="C90:D90"/>
    <mergeCell ref="B53:D53"/>
    <mergeCell ref="B55:I55"/>
    <mergeCell ref="N43:S43"/>
    <mergeCell ref="B71:D71"/>
    <mergeCell ref="N20:R20"/>
    <mergeCell ref="B38:D38"/>
    <mergeCell ref="N30:R30"/>
    <mergeCell ref="B40:I40"/>
    <mergeCell ref="AB61:AC61"/>
    <mergeCell ref="AB63:AC63"/>
    <mergeCell ref="B6:K6"/>
    <mergeCell ref="C9:D9"/>
    <mergeCell ref="C10:D10"/>
    <mergeCell ref="N10:R10"/>
    <mergeCell ref="C12:D12"/>
    <mergeCell ref="B14:K14"/>
    <mergeCell ref="B19:D19"/>
    <mergeCell ref="B21:I21"/>
    <mergeCell ref="B214:C214"/>
    <mergeCell ref="E214:F214"/>
    <mergeCell ref="G214:I214"/>
    <mergeCell ref="J214:K214"/>
    <mergeCell ref="B215:C215"/>
    <mergeCell ref="E215:F215"/>
    <mergeCell ref="G215:I215"/>
    <mergeCell ref="J215:K215"/>
    <mergeCell ref="B216:C216"/>
    <mergeCell ref="E216:F216"/>
    <mergeCell ref="G216:I216"/>
    <mergeCell ref="J216:K216"/>
    <mergeCell ref="G218:I218"/>
    <mergeCell ref="J218:K218"/>
    <mergeCell ref="E217:F217"/>
    <mergeCell ref="G217:I217"/>
    <mergeCell ref="E222:F222"/>
    <mergeCell ref="G222:I222"/>
    <mergeCell ref="J222:K222"/>
    <mergeCell ref="B223:C223"/>
    <mergeCell ref="E223:F223"/>
    <mergeCell ref="G223:I223"/>
    <mergeCell ref="J223:K223"/>
    <mergeCell ref="B224:C224"/>
    <mergeCell ref="E224:F224"/>
    <mergeCell ref="G224:I224"/>
    <mergeCell ref="J224:K224"/>
    <mergeCell ref="B225:C225"/>
    <mergeCell ref="E225:F225"/>
    <mergeCell ref="G225:I225"/>
    <mergeCell ref="J225:K225"/>
    <mergeCell ref="B226:C226"/>
    <mergeCell ref="E226:F226"/>
    <mergeCell ref="G226:I226"/>
    <mergeCell ref="J226:K226"/>
    <mergeCell ref="C11:D11"/>
    <mergeCell ref="B220:I220"/>
    <mergeCell ref="Z32:AA32"/>
    <mergeCell ref="Z33:AA33"/>
    <mergeCell ref="Z34:AA34"/>
    <mergeCell ref="Z35:AA35"/>
    <mergeCell ref="B217:C217"/>
    <mergeCell ref="J217:K217"/>
    <mergeCell ref="B218:C218"/>
    <mergeCell ref="E218:F218"/>
  </mergeCells>
  <printOptions/>
  <pageMargins left="0.75" right="0.75" top="0.61" bottom="0.56" header="0.4921259845" footer="0.4921259845"/>
  <pageSetup fitToHeight="2" orientation="portrait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81"/>
  <sheetViews>
    <sheetView workbookViewId="0" topLeftCell="A1">
      <selection activeCell="H15" sqref="H15"/>
    </sheetView>
  </sheetViews>
  <sheetFormatPr defaultColWidth="11.421875" defaultRowHeight="12.75"/>
  <cols>
    <col min="1" max="1" width="3.7109375" style="1" customWidth="1"/>
    <col min="2" max="2" width="4.421875" style="1" customWidth="1"/>
    <col min="3" max="3" width="7.140625" style="1" customWidth="1"/>
    <col min="4" max="4" width="17.7109375" style="1" customWidth="1"/>
    <col min="5" max="7" width="5.57421875" style="1" customWidth="1"/>
    <col min="8" max="8" width="5.7109375" style="1" customWidth="1"/>
    <col min="9" max="9" width="7.00390625" style="1" customWidth="1"/>
    <col min="10" max="10" width="5.421875" style="1" customWidth="1"/>
    <col min="11" max="11" width="7.7109375" style="1" customWidth="1"/>
    <col min="12" max="12" width="2.57421875" style="1" customWidth="1"/>
    <col min="13" max="13" width="2.421875" style="1" customWidth="1"/>
    <col min="14" max="14" width="15.00390625" style="1" customWidth="1"/>
    <col min="15" max="16" width="8.00390625" style="1" customWidth="1"/>
    <col min="17" max="17" width="7.7109375" style="1" customWidth="1"/>
    <col min="18" max="18" width="12.57421875" style="1" customWidth="1"/>
    <col min="19" max="19" width="11.421875" style="1" customWidth="1"/>
    <col min="20" max="20" width="2.28125" style="1" customWidth="1"/>
    <col min="21" max="21" width="1.7109375" style="1" customWidth="1"/>
    <col min="22" max="22" width="2.140625" style="1" customWidth="1"/>
    <col min="23" max="23" width="14.00390625" style="1" customWidth="1"/>
    <col min="24" max="24" width="6.140625" style="1" customWidth="1"/>
    <col min="25" max="27" width="7.28125" style="1" customWidth="1"/>
    <col min="28" max="28" width="13.57421875" style="1" customWidth="1"/>
    <col min="29" max="16384" width="11.421875" style="1" customWidth="1"/>
  </cols>
  <sheetData>
    <row r="1" spans="13:21" ht="12.75">
      <c r="M1" s="2"/>
      <c r="U1" s="161"/>
    </row>
    <row r="2" spans="13:21" ht="12.75">
      <c r="M2" s="2"/>
      <c r="U2" s="161"/>
    </row>
    <row r="3" spans="13:21" ht="12.75">
      <c r="M3" s="2"/>
      <c r="U3" s="161"/>
    </row>
    <row r="4" spans="13:21" ht="12.75">
      <c r="M4" s="2"/>
      <c r="U4" s="161"/>
    </row>
    <row r="5" spans="13:21" ht="12.75">
      <c r="M5" s="2"/>
      <c r="U5" s="161"/>
    </row>
    <row r="6" spans="2:21" ht="13.5">
      <c r="B6" s="270" t="s">
        <v>0</v>
      </c>
      <c r="C6" s="270"/>
      <c r="D6" s="270"/>
      <c r="E6" s="270"/>
      <c r="F6" s="270"/>
      <c r="G6" s="270"/>
      <c r="H6" s="270"/>
      <c r="I6" s="270"/>
      <c r="J6" s="270"/>
      <c r="K6" s="270"/>
      <c r="L6" s="3"/>
      <c r="M6" s="4"/>
      <c r="U6" s="161"/>
    </row>
    <row r="7" spans="2:21" ht="12.7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U7" s="161"/>
    </row>
    <row r="8" spans="2:21" ht="13.5" thickBo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/>
      <c r="U8" s="161"/>
    </row>
    <row r="9" spans="2:21" ht="15" customHeight="1" thickBot="1">
      <c r="B9" s="7"/>
      <c r="C9" s="271" t="s">
        <v>66</v>
      </c>
      <c r="D9" s="271"/>
      <c r="E9" s="9" t="s">
        <v>2</v>
      </c>
      <c r="F9" s="9" t="s">
        <v>3</v>
      </c>
      <c r="G9" s="9" t="s">
        <v>4</v>
      </c>
      <c r="H9" s="9" t="s">
        <v>5</v>
      </c>
      <c r="I9" s="10" t="s">
        <v>6</v>
      </c>
      <c r="J9" s="7"/>
      <c r="K9" s="7"/>
      <c r="L9" s="7"/>
      <c r="M9" s="8"/>
      <c r="U9" s="161"/>
    </row>
    <row r="10" spans="2:28" ht="15" customHeight="1" thickBot="1" thickTop="1">
      <c r="B10" s="7"/>
      <c r="C10" s="272" t="str">
        <f>'[1]Equipes-Pool'!$B$9</f>
        <v>Penguins de Pittburgh</v>
      </c>
      <c r="D10" s="273"/>
      <c r="E10" s="11">
        <f>'[1]Equipes-Pool'!$C$9</f>
        <v>69</v>
      </c>
      <c r="F10" s="12">
        <f>'[1]Equipes-Pool'!$D$9</f>
        <v>79</v>
      </c>
      <c r="G10" s="12">
        <f>'[1]Equipes-Pool'!$E$9</f>
        <v>213</v>
      </c>
      <c r="H10" s="12">
        <f>'[1]Equipes-Pool'!$F$9</f>
        <v>208</v>
      </c>
      <c r="I10" s="13">
        <f>F10+(G10-H10)</f>
        <v>84</v>
      </c>
      <c r="J10" s="7"/>
      <c r="K10" s="7"/>
      <c r="L10" s="7"/>
      <c r="M10" s="8"/>
      <c r="N10" s="265" t="s">
        <v>65</v>
      </c>
      <c r="O10" s="266"/>
      <c r="P10" s="266"/>
      <c r="Q10" s="266"/>
      <c r="R10" s="267"/>
      <c r="U10" s="161"/>
      <c r="W10" s="293" t="s">
        <v>195</v>
      </c>
      <c r="X10" s="294"/>
      <c r="Y10" s="294"/>
      <c r="Z10" s="294"/>
      <c r="AA10" s="294"/>
      <c r="AB10" s="295"/>
    </row>
    <row r="11" spans="2:28" ht="15" customHeight="1" thickBot="1">
      <c r="B11" s="7"/>
      <c r="C11" s="274" t="s">
        <v>7</v>
      </c>
      <c r="D11" s="275"/>
      <c r="E11" s="14">
        <f>SUM(E10)</f>
        <v>69</v>
      </c>
      <c r="F11" s="14">
        <f>SUM(F10)</f>
        <v>79</v>
      </c>
      <c r="G11" s="14">
        <f>SUM(G10)</f>
        <v>213</v>
      </c>
      <c r="H11" s="14">
        <f>SUM(H10)</f>
        <v>208</v>
      </c>
      <c r="I11" s="15">
        <f>F11+(G11-H11)</f>
        <v>84</v>
      </c>
      <c r="J11" s="7"/>
      <c r="K11" s="7"/>
      <c r="L11" s="7"/>
      <c r="M11" s="8"/>
      <c r="N11" s="16" t="s">
        <v>8</v>
      </c>
      <c r="O11" s="17" t="s">
        <v>9</v>
      </c>
      <c r="P11" s="71" t="s">
        <v>10</v>
      </c>
      <c r="Q11" s="18" t="s">
        <v>11</v>
      </c>
      <c r="R11" s="19" t="s">
        <v>68</v>
      </c>
      <c r="U11" s="161"/>
      <c r="W11" s="152" t="s">
        <v>8</v>
      </c>
      <c r="X11" s="296" t="s">
        <v>83</v>
      </c>
      <c r="Y11" s="297"/>
      <c r="Z11" s="296" t="s">
        <v>196</v>
      </c>
      <c r="AA11" s="297"/>
      <c r="AB11" s="158" t="s">
        <v>159</v>
      </c>
    </row>
    <row r="12" spans="2:28" ht="14.25" thickTop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  <c r="N12" s="20" t="s">
        <v>12</v>
      </c>
      <c r="O12" s="21">
        <f>E11</f>
        <v>69</v>
      </c>
      <c r="P12" s="72">
        <f>I11</f>
        <v>84</v>
      </c>
      <c r="Q12" s="23">
        <f aca="true" t="shared" si="0" ref="Q12:Q18">P12/O12</f>
        <v>1.2173913043478262</v>
      </c>
      <c r="R12" s="22">
        <f>'[2]Individuel'!$D$19</f>
        <v>107.5</v>
      </c>
      <c r="U12" s="161"/>
      <c r="W12" s="155"/>
      <c r="X12" s="154" t="s">
        <v>143</v>
      </c>
      <c r="Y12" s="154" t="s">
        <v>157</v>
      </c>
      <c r="Z12" s="154" t="s">
        <v>143</v>
      </c>
      <c r="AA12" s="154" t="s">
        <v>157</v>
      </c>
      <c r="AB12" s="156"/>
    </row>
    <row r="13" spans="2:28" ht="15" customHeight="1" thickBot="1">
      <c r="B13" s="254" t="s">
        <v>13</v>
      </c>
      <c r="C13" s="254"/>
      <c r="D13" s="254"/>
      <c r="E13" s="254"/>
      <c r="F13" s="254"/>
      <c r="G13" s="254"/>
      <c r="H13" s="254"/>
      <c r="I13" s="254"/>
      <c r="J13" s="254"/>
      <c r="K13" s="254"/>
      <c r="L13" s="24"/>
      <c r="M13" s="25"/>
      <c r="N13" s="26" t="s">
        <v>14</v>
      </c>
      <c r="O13" s="27">
        <f>E20</f>
        <v>112</v>
      </c>
      <c r="P13" s="73">
        <f>K20</f>
        <v>165</v>
      </c>
      <c r="Q13" s="29">
        <f t="shared" si="0"/>
        <v>1.4732142857142858</v>
      </c>
      <c r="R13" s="28">
        <f>'[2]Individuel'!$I$19</f>
        <v>146.5</v>
      </c>
      <c r="U13" s="161"/>
      <c r="W13" s="153" t="s">
        <v>156</v>
      </c>
      <c r="X13" s="14" t="s">
        <v>148</v>
      </c>
      <c r="Y13" s="14">
        <v>1339</v>
      </c>
      <c r="Z13" s="22"/>
      <c r="AA13" s="22"/>
      <c r="AB13" s="139">
        <f>Y13</f>
        <v>1339</v>
      </c>
    </row>
    <row r="14" spans="2:28" ht="15" customHeight="1" thickBot="1">
      <c r="B14" s="30" t="s">
        <v>15</v>
      </c>
      <c r="C14" s="30" t="s">
        <v>16</v>
      </c>
      <c r="D14" s="30" t="s">
        <v>17</v>
      </c>
      <c r="E14" s="31" t="s">
        <v>2</v>
      </c>
      <c r="F14" s="31" t="s">
        <v>18</v>
      </c>
      <c r="G14" s="31" t="s">
        <v>19</v>
      </c>
      <c r="H14" s="31" t="s">
        <v>20</v>
      </c>
      <c r="I14" s="31" t="s">
        <v>21</v>
      </c>
      <c r="J14" s="31" t="s">
        <v>22</v>
      </c>
      <c r="K14" s="32" t="s">
        <v>6</v>
      </c>
      <c r="L14" s="7"/>
      <c r="M14" s="8"/>
      <c r="N14" s="26" t="s">
        <v>23</v>
      </c>
      <c r="O14" s="27">
        <f>E38</f>
        <v>511</v>
      </c>
      <c r="P14" s="73">
        <f>H38</f>
        <v>346</v>
      </c>
      <c r="Q14" s="29">
        <f t="shared" si="0"/>
        <v>0.6771037181996086</v>
      </c>
      <c r="R14" s="125">
        <f>'[2]Individuel'!$N$19</f>
        <v>391.4</v>
      </c>
      <c r="U14" s="161"/>
      <c r="W14" s="49" t="s">
        <v>105</v>
      </c>
      <c r="X14" s="43" t="s">
        <v>95</v>
      </c>
      <c r="Y14" s="43">
        <v>196</v>
      </c>
      <c r="Z14" s="22"/>
      <c r="AA14" s="22"/>
      <c r="AB14" s="139">
        <f aca="true" t="shared" si="1" ref="AB14:AB28">Y14</f>
        <v>196</v>
      </c>
    </row>
    <row r="15" spans="2:28" ht="15" customHeight="1" thickTop="1">
      <c r="B15" s="189">
        <f>'[1]Pool-gardien'!$B$11</f>
        <v>28.673972602739727</v>
      </c>
      <c r="C15" s="189" t="str">
        <f>'[1]Pool-gardien'!$C$11</f>
        <v>Buf</v>
      </c>
      <c r="D15" s="190" t="str">
        <f>'[1]Pool-gardien'!$D$11</f>
        <v>Ryan Miller</v>
      </c>
      <c r="E15" s="189">
        <v>51</v>
      </c>
      <c r="F15" s="189">
        <v>29</v>
      </c>
      <c r="G15" s="189">
        <v>5</v>
      </c>
      <c r="H15" s="189">
        <v>5</v>
      </c>
      <c r="I15" s="189">
        <v>0</v>
      </c>
      <c r="J15" s="189">
        <v>0</v>
      </c>
      <c r="K15" s="203">
        <f aca="true" t="shared" si="2" ref="K15:K20">(F15*2)+G15+(H15*4)+(I15*10)+J15</f>
        <v>83</v>
      </c>
      <c r="L15" s="145"/>
      <c r="M15" s="226"/>
      <c r="N15" s="26" t="s">
        <v>24</v>
      </c>
      <c r="O15" s="27">
        <f>E48</f>
        <v>275</v>
      </c>
      <c r="P15" s="73">
        <f>H48</f>
        <v>278</v>
      </c>
      <c r="Q15" s="29">
        <f t="shared" si="0"/>
        <v>1.010909090909091</v>
      </c>
      <c r="R15" s="28">
        <f>'[2]Individuel'!$D$33</f>
        <v>232.7</v>
      </c>
      <c r="U15" s="161"/>
      <c r="W15" s="49" t="s">
        <v>166</v>
      </c>
      <c r="X15" s="43" t="s">
        <v>147</v>
      </c>
      <c r="Y15" s="43">
        <v>133</v>
      </c>
      <c r="Z15" s="14"/>
      <c r="AA15" s="14"/>
      <c r="AB15" s="139">
        <f t="shared" si="1"/>
        <v>133</v>
      </c>
    </row>
    <row r="16" spans="2:28" ht="15" customHeight="1">
      <c r="B16" s="189">
        <f>'[1]Pool-gardien'!$B$53</f>
        <v>34.706849315068496</v>
      </c>
      <c r="C16" s="189" t="str">
        <f>'[1]Pool-gardien'!$C$53</f>
        <v>Buf</v>
      </c>
      <c r="D16" s="190" t="str">
        <f>'[1]Pool-gardien'!$D$53</f>
        <v>Patrick Lalime </v>
      </c>
      <c r="E16" s="189">
        <v>3</v>
      </c>
      <c r="F16" s="189">
        <v>1</v>
      </c>
      <c r="G16" s="189">
        <v>0</v>
      </c>
      <c r="H16" s="189">
        <v>0</v>
      </c>
      <c r="I16" s="189">
        <v>0</v>
      </c>
      <c r="J16" s="189">
        <v>0</v>
      </c>
      <c r="K16" s="203">
        <f t="shared" si="2"/>
        <v>2</v>
      </c>
      <c r="L16" s="145"/>
      <c r="M16" s="8"/>
      <c r="N16" s="26" t="s">
        <v>25</v>
      </c>
      <c r="O16" s="27">
        <f>E62</f>
        <v>371</v>
      </c>
      <c r="P16" s="73">
        <f>H62</f>
        <v>173</v>
      </c>
      <c r="Q16" s="29">
        <f t="shared" si="0"/>
        <v>0.46630727762803237</v>
      </c>
      <c r="R16" s="28">
        <f>'[2]Individuel'!$I$33</f>
        <v>193.3</v>
      </c>
      <c r="U16" s="161"/>
      <c r="W16" s="49" t="s">
        <v>14</v>
      </c>
      <c r="X16" s="43" t="s">
        <v>154</v>
      </c>
      <c r="Y16" s="43">
        <v>131</v>
      </c>
      <c r="Z16" s="22"/>
      <c r="AA16" s="22"/>
      <c r="AB16" s="139">
        <f t="shared" si="1"/>
        <v>131</v>
      </c>
    </row>
    <row r="17" spans="2:28" ht="15" customHeight="1" thickBot="1">
      <c r="B17" s="106">
        <f>'[1]Pool-gardien'!$B$36</f>
        <v>24.304109589041097</v>
      </c>
      <c r="C17" s="106" t="str">
        <f>'[1]Pool-gardien'!$C$36</f>
        <v>Pit</v>
      </c>
      <c r="D17" s="126" t="str">
        <f>'[1]Pool-gardien'!$D$36</f>
        <v>Marc-André Fleury</v>
      </c>
      <c r="E17" s="107">
        <f>('[1]Pool-gardien'!$E$36)</f>
        <v>51</v>
      </c>
      <c r="F17" s="107">
        <f>('[1]Pool-gardien'!$F$36)</f>
        <v>28</v>
      </c>
      <c r="G17" s="107">
        <f>('[1]Pool-gardien'!$G$36)</f>
        <v>5</v>
      </c>
      <c r="H17" s="107">
        <f>('[1]Pool-gardien'!$H$36)</f>
        <v>3</v>
      </c>
      <c r="I17" s="107">
        <f>('[1]Pool-gardien'!$I$36)</f>
        <v>0</v>
      </c>
      <c r="J17" s="107">
        <f>('[1]Pool-gardien'!$J$36)</f>
        <v>0</v>
      </c>
      <c r="K17" s="33">
        <f t="shared" si="2"/>
        <v>73</v>
      </c>
      <c r="L17" s="145"/>
      <c r="M17" s="8"/>
      <c r="N17" s="38" t="s">
        <v>27</v>
      </c>
      <c r="O17" s="39">
        <f>E68</f>
        <v>106</v>
      </c>
      <c r="P17" s="74">
        <f>H68</f>
        <v>36</v>
      </c>
      <c r="Q17" s="41">
        <f t="shared" si="0"/>
        <v>0.33962264150943394</v>
      </c>
      <c r="R17" s="40">
        <f>'[2]Individuel'!$N$33</f>
        <v>63.8</v>
      </c>
      <c r="U17" s="161"/>
      <c r="W17" s="49" t="s">
        <v>84</v>
      </c>
      <c r="X17" s="43" t="s">
        <v>148</v>
      </c>
      <c r="Y17" s="43">
        <v>464</v>
      </c>
      <c r="Z17" s="22"/>
      <c r="AA17" s="22"/>
      <c r="AB17" s="139">
        <f t="shared" si="1"/>
        <v>464</v>
      </c>
    </row>
    <row r="18" spans="2:28" ht="15" customHeight="1">
      <c r="B18" s="109">
        <f>'[1]Pool-gardien'!$B$31</f>
        <v>36.18630136986302</v>
      </c>
      <c r="C18" s="109" t="str">
        <f>'[1]Pool-gardien'!$C$31</f>
        <v>Chi</v>
      </c>
      <c r="D18" s="111" t="str">
        <f>'[1]Pool-gardien'!$D$31</f>
        <v>Nikolai Khabibulin</v>
      </c>
      <c r="E18" s="108">
        <f>('[1]Pool-gardien'!$E$31)-25</f>
        <v>4</v>
      </c>
      <c r="F18" s="108">
        <f>('[1]Pool-gardien'!$F$31)-14</f>
        <v>3</v>
      </c>
      <c r="G18" s="108">
        <f>('[1]Pool-gardien'!$G$31)-5</f>
        <v>0</v>
      </c>
      <c r="H18" s="108">
        <f>('[1]Pool-gardien'!$H$31)-1</f>
        <v>0</v>
      </c>
      <c r="I18" s="108">
        <f>('[1]Pool-gardien'!$I$31)</f>
        <v>0</v>
      </c>
      <c r="J18" s="108">
        <f>('[1]Pool-gardien'!$J$31)-1</f>
        <v>1</v>
      </c>
      <c r="K18" s="33">
        <f t="shared" si="2"/>
        <v>7</v>
      </c>
      <c r="L18" s="7"/>
      <c r="M18" s="8"/>
      <c r="N18" s="42" t="s">
        <v>28</v>
      </c>
      <c r="O18" s="22">
        <f>SUM(O12:O17)</f>
        <v>1444</v>
      </c>
      <c r="P18" s="75">
        <f>SUM(P12:P17)</f>
        <v>1082</v>
      </c>
      <c r="Q18" s="23">
        <f t="shared" si="0"/>
        <v>0.7493074792243767</v>
      </c>
      <c r="R18" s="22">
        <f>'[2]Classement'!$C$20</f>
        <v>1135.2</v>
      </c>
      <c r="U18" s="161"/>
      <c r="W18" s="49" t="s">
        <v>24</v>
      </c>
      <c r="X18" s="43" t="s">
        <v>149</v>
      </c>
      <c r="Y18" s="43">
        <v>274</v>
      </c>
      <c r="Z18" s="22"/>
      <c r="AA18" s="22"/>
      <c r="AB18" s="139">
        <f t="shared" si="1"/>
        <v>274</v>
      </c>
    </row>
    <row r="19" spans="2:28" ht="15" customHeight="1" thickBot="1">
      <c r="B19" s="185">
        <f>'[1]Pool-gardien'!$B$45</f>
        <v>28.545205479452054</v>
      </c>
      <c r="C19" s="185" t="str">
        <f>'[1]Pool-gardien'!$C$45</f>
        <v>Edm</v>
      </c>
      <c r="D19" s="186" t="str">
        <f>'[1]Pool-gardien'!$D$45</f>
        <v>Dany Sabourin</v>
      </c>
      <c r="E19" s="204">
        <v>3</v>
      </c>
      <c r="F19" s="204">
        <v>0</v>
      </c>
      <c r="G19" s="204">
        <v>0</v>
      </c>
      <c r="H19" s="204">
        <v>0</v>
      </c>
      <c r="I19" s="204">
        <v>0</v>
      </c>
      <c r="J19" s="204">
        <v>0</v>
      </c>
      <c r="K19" s="197">
        <f t="shared" si="2"/>
        <v>0</v>
      </c>
      <c r="L19" s="7"/>
      <c r="M19" s="8"/>
      <c r="U19" s="161"/>
      <c r="W19" s="49" t="s">
        <v>25</v>
      </c>
      <c r="X19" s="43" t="s">
        <v>149</v>
      </c>
      <c r="Y19" s="43">
        <v>218</v>
      </c>
      <c r="Z19" s="22"/>
      <c r="AA19" s="22"/>
      <c r="AB19" s="139">
        <f t="shared" si="1"/>
        <v>218</v>
      </c>
    </row>
    <row r="20" spans="2:28" ht="15" customHeight="1">
      <c r="B20" s="274" t="s">
        <v>26</v>
      </c>
      <c r="C20" s="275"/>
      <c r="D20" s="255"/>
      <c r="E20" s="14">
        <f aca="true" t="shared" si="3" ref="E20:J20">SUM(E15:E19)</f>
        <v>112</v>
      </c>
      <c r="F20" s="14">
        <f t="shared" si="3"/>
        <v>61</v>
      </c>
      <c r="G20" s="14">
        <f t="shared" si="3"/>
        <v>10</v>
      </c>
      <c r="H20" s="14">
        <f t="shared" si="3"/>
        <v>8</v>
      </c>
      <c r="I20" s="14">
        <f t="shared" si="3"/>
        <v>0</v>
      </c>
      <c r="J20" s="14">
        <f t="shared" si="3"/>
        <v>1</v>
      </c>
      <c r="K20" s="33">
        <f t="shared" si="2"/>
        <v>165</v>
      </c>
      <c r="L20" s="7"/>
      <c r="M20" s="8"/>
      <c r="N20" s="265" t="s">
        <v>64</v>
      </c>
      <c r="O20" s="266"/>
      <c r="P20" s="266"/>
      <c r="Q20" s="266"/>
      <c r="R20" s="267"/>
      <c r="U20" s="161"/>
      <c r="W20" s="49" t="s">
        <v>85</v>
      </c>
      <c r="X20" s="43" t="s">
        <v>148</v>
      </c>
      <c r="Y20" s="43">
        <v>88</v>
      </c>
      <c r="Z20" s="22"/>
      <c r="AA20" s="22"/>
      <c r="AB20" s="139">
        <f t="shared" si="1"/>
        <v>88</v>
      </c>
    </row>
    <row r="21" spans="2:28" ht="15" customHeight="1" thickBot="1">
      <c r="B21" s="5"/>
      <c r="C21" s="5"/>
      <c r="D21" s="5"/>
      <c r="E21" s="7"/>
      <c r="F21" s="7"/>
      <c r="G21" s="7"/>
      <c r="H21" s="7"/>
      <c r="I21" s="7"/>
      <c r="J21" s="7"/>
      <c r="K21" s="7"/>
      <c r="L21" s="7"/>
      <c r="M21" s="8"/>
      <c r="N21" s="16" t="s">
        <v>8</v>
      </c>
      <c r="O21" s="17" t="s">
        <v>9</v>
      </c>
      <c r="P21" s="71" t="s">
        <v>10</v>
      </c>
      <c r="Q21" s="18" t="s">
        <v>11</v>
      </c>
      <c r="R21" s="19" t="s">
        <v>68</v>
      </c>
      <c r="U21" s="161"/>
      <c r="W21" s="49" t="s">
        <v>21</v>
      </c>
      <c r="X21" s="73" t="s">
        <v>95</v>
      </c>
      <c r="Y21" s="43">
        <v>431</v>
      </c>
      <c r="Z21" s="22"/>
      <c r="AA21" s="22"/>
      <c r="AB21" s="139">
        <f t="shared" si="1"/>
        <v>431</v>
      </c>
    </row>
    <row r="22" spans="2:28" ht="15" customHeight="1" thickBot="1" thickTop="1">
      <c r="B22" s="256" t="s">
        <v>23</v>
      </c>
      <c r="C22" s="257"/>
      <c r="D22" s="257"/>
      <c r="E22" s="257"/>
      <c r="F22" s="257"/>
      <c r="G22" s="257"/>
      <c r="H22" s="257"/>
      <c r="I22" s="258"/>
      <c r="J22" s="7"/>
      <c r="K22" s="7"/>
      <c r="L22" s="7"/>
      <c r="M22" s="8"/>
      <c r="N22" s="20" t="s">
        <v>31</v>
      </c>
      <c r="O22" s="27">
        <f>E74</f>
        <v>67</v>
      </c>
      <c r="P22" s="73">
        <f>I74</f>
        <v>78</v>
      </c>
      <c r="Q22" s="29">
        <f>P22/O22</f>
        <v>1.164179104477612</v>
      </c>
      <c r="R22" s="63"/>
      <c r="U22" s="161"/>
      <c r="W22" s="49" t="s">
        <v>30</v>
      </c>
      <c r="X22" s="43" t="s">
        <v>150</v>
      </c>
      <c r="Y22" s="43">
        <v>613</v>
      </c>
      <c r="Z22" s="14"/>
      <c r="AA22" s="14"/>
      <c r="AB22" s="139">
        <f t="shared" si="1"/>
        <v>613</v>
      </c>
    </row>
    <row r="23" spans="2:28" ht="15" customHeight="1" thickBot="1">
      <c r="B23" s="30" t="s">
        <v>15</v>
      </c>
      <c r="C23" s="30" t="s">
        <v>29</v>
      </c>
      <c r="D23" s="30" t="s">
        <v>17</v>
      </c>
      <c r="E23" s="31" t="s">
        <v>2</v>
      </c>
      <c r="F23" s="31" t="s">
        <v>21</v>
      </c>
      <c r="G23" s="31" t="s">
        <v>30</v>
      </c>
      <c r="H23" s="32" t="s">
        <v>6</v>
      </c>
      <c r="I23" s="31" t="s">
        <v>11</v>
      </c>
      <c r="J23" s="7"/>
      <c r="K23" s="7"/>
      <c r="L23" s="7"/>
      <c r="M23" s="8"/>
      <c r="N23" s="26" t="s">
        <v>32</v>
      </c>
      <c r="O23" s="27">
        <f>E82</f>
        <v>33</v>
      </c>
      <c r="P23" s="73">
        <f>K82</f>
        <v>43</v>
      </c>
      <c r="Q23" s="29">
        <f aca="true" t="shared" si="4" ref="Q23:Q28">P23/O23</f>
        <v>1.303030303030303</v>
      </c>
      <c r="R23" s="63"/>
      <c r="U23" s="161"/>
      <c r="W23" s="49" t="s">
        <v>86</v>
      </c>
      <c r="X23" s="43" t="s">
        <v>148</v>
      </c>
      <c r="Y23" s="43">
        <v>1044</v>
      </c>
      <c r="Z23" s="22"/>
      <c r="AA23" s="22"/>
      <c r="AB23" s="139">
        <f t="shared" si="1"/>
        <v>1044</v>
      </c>
    </row>
    <row r="24" spans="2:28" ht="15" customHeight="1" thickTop="1">
      <c r="B24" s="107">
        <f>'[1]POOL-joueus'!$B$44</f>
        <v>24.756164383561643</v>
      </c>
      <c r="C24" s="107" t="str">
        <f>'[1]POOL-joueus'!$C$44</f>
        <v>Cbj</v>
      </c>
      <c r="D24" s="124" t="str">
        <f>'[1]POOL-joueus'!$D$44</f>
        <v>Rick Nash</v>
      </c>
      <c r="E24" s="107">
        <f>('[1]POOL-joueus'!$E$44)-1</f>
        <v>63</v>
      </c>
      <c r="F24" s="107">
        <f>('[1]POOL-joueus'!$F$44)-1</f>
        <v>31</v>
      </c>
      <c r="G24" s="107">
        <f>('[1]POOL-joueus'!$G$44)-2</f>
        <v>31</v>
      </c>
      <c r="H24" s="44">
        <f aca="true" t="shared" si="5" ref="H24:H38">SUM(F24:G24)</f>
        <v>62</v>
      </c>
      <c r="I24" s="45">
        <f aca="true" t="shared" si="6" ref="I24:I38">H24/E24</f>
        <v>0.9841269841269841</v>
      </c>
      <c r="J24" s="7"/>
      <c r="K24" s="7"/>
      <c r="L24" s="7"/>
      <c r="M24" s="8"/>
      <c r="N24" s="26" t="s">
        <v>33</v>
      </c>
      <c r="O24" s="27">
        <f>E97</f>
        <v>254</v>
      </c>
      <c r="P24" s="73">
        <f>H97</f>
        <v>148</v>
      </c>
      <c r="Q24" s="29">
        <f t="shared" si="4"/>
        <v>0.5826771653543307</v>
      </c>
      <c r="R24" s="63"/>
      <c r="U24" s="161"/>
      <c r="W24" s="49" t="s">
        <v>87</v>
      </c>
      <c r="X24" s="43" t="s">
        <v>149</v>
      </c>
      <c r="Y24" s="43">
        <v>531</v>
      </c>
      <c r="Z24" s="22"/>
      <c r="AA24" s="22"/>
      <c r="AB24" s="139">
        <f t="shared" si="1"/>
        <v>531</v>
      </c>
    </row>
    <row r="25" spans="2:28" ht="15" customHeight="1">
      <c r="B25" s="107">
        <f>'[1]POOL-joueus'!$B$26</f>
        <v>32.443835616438356</v>
      </c>
      <c r="C25" s="107" t="str">
        <f>'[1]POOL-joueus'!$C$26</f>
        <v>Phx</v>
      </c>
      <c r="D25" s="124" t="str">
        <f>'[1]POOL-joueus'!$D$26</f>
        <v>Shane Doan</v>
      </c>
      <c r="E25" s="107">
        <f>'[1]POOL-joueus'!$E$26</f>
        <v>67</v>
      </c>
      <c r="F25" s="107">
        <f>'[1]POOL-joueus'!$F$26</f>
        <v>25</v>
      </c>
      <c r="G25" s="107">
        <f>'[1]POOL-joueus'!$G$26</f>
        <v>32</v>
      </c>
      <c r="H25" s="44">
        <f t="shared" si="5"/>
        <v>57</v>
      </c>
      <c r="I25" s="45">
        <f t="shared" si="6"/>
        <v>0.8507462686567164</v>
      </c>
      <c r="J25" s="7"/>
      <c r="K25" s="7"/>
      <c r="L25" s="7"/>
      <c r="M25" s="8"/>
      <c r="N25" s="26" t="s">
        <v>34</v>
      </c>
      <c r="O25" s="27">
        <f>E107</f>
        <v>174</v>
      </c>
      <c r="P25" s="73">
        <f>H107</f>
        <v>62</v>
      </c>
      <c r="Q25" s="29">
        <f t="shared" si="4"/>
        <v>0.3563218390804598</v>
      </c>
      <c r="R25" s="63"/>
      <c r="U25" s="161"/>
      <c r="W25" s="49" t="s">
        <v>112</v>
      </c>
      <c r="X25" s="43" t="s">
        <v>152</v>
      </c>
      <c r="Y25" s="43">
        <v>62</v>
      </c>
      <c r="Z25" s="22"/>
      <c r="AA25" s="22"/>
      <c r="AB25" s="139">
        <f t="shared" si="1"/>
        <v>62</v>
      </c>
    </row>
    <row r="26" spans="2:28" ht="15" customHeight="1">
      <c r="B26" s="109">
        <f>'[1]POOL-joueus'!$B$86</f>
        <v>36.71506849315068</v>
      </c>
      <c r="C26" s="109" t="str">
        <f>'[1]POOL-joueus'!$C$86</f>
        <v>Phi</v>
      </c>
      <c r="D26" s="111" t="str">
        <f>'[1]POOL-joueus'!$D$86</f>
        <v>Mike Knuble</v>
      </c>
      <c r="E26" s="109">
        <f>'[1]POOL-joueus'!$E$86</f>
        <v>65</v>
      </c>
      <c r="F26" s="109">
        <f>'[1]POOL-joueus'!$F$86</f>
        <v>23</v>
      </c>
      <c r="G26" s="109">
        <f>'[1]POOL-joueus'!$G$86</f>
        <v>18</v>
      </c>
      <c r="H26" s="44">
        <f t="shared" si="5"/>
        <v>41</v>
      </c>
      <c r="I26" s="45">
        <f t="shared" si="6"/>
        <v>0.6307692307692307</v>
      </c>
      <c r="J26" s="145"/>
      <c r="K26" s="7"/>
      <c r="L26" s="7"/>
      <c r="M26" s="8"/>
      <c r="N26" s="26" t="s">
        <v>35</v>
      </c>
      <c r="O26" s="27">
        <f>E121</f>
        <v>121</v>
      </c>
      <c r="P26" s="73">
        <f>H121</f>
        <v>40</v>
      </c>
      <c r="Q26" s="29">
        <f t="shared" si="4"/>
        <v>0.3305785123966942</v>
      </c>
      <c r="R26" s="63"/>
      <c r="U26" s="161"/>
      <c r="W26" s="49" t="s">
        <v>88</v>
      </c>
      <c r="X26" s="43" t="s">
        <v>154</v>
      </c>
      <c r="Y26" s="43">
        <v>6</v>
      </c>
      <c r="Z26" s="22"/>
      <c r="AA26" s="22"/>
      <c r="AB26" s="139">
        <f t="shared" si="1"/>
        <v>6</v>
      </c>
    </row>
    <row r="27" spans="2:28" ht="15" customHeight="1" thickBot="1">
      <c r="B27" s="107">
        <f>'[1]POOL-joueus'!$B$163</f>
        <v>29.24109589041096</v>
      </c>
      <c r="C27" s="107" t="str">
        <f>'[1]POOL-joueus'!$C$163</f>
        <v>Det</v>
      </c>
      <c r="D27" s="124" t="str">
        <f>'[1]POOL-joueus'!$D$163</f>
        <v>Johan Franzen</v>
      </c>
      <c r="E27" s="107">
        <f>(('[1]POOL-joueus'!$E$163))-6</f>
        <v>51</v>
      </c>
      <c r="F27" s="107">
        <f>(('[1]POOL-joueus'!$F$163))-3</f>
        <v>24</v>
      </c>
      <c r="G27" s="107">
        <f>(('[1]POOL-joueus'!$G$163))-2</f>
        <v>14</v>
      </c>
      <c r="H27" s="44">
        <f t="shared" si="5"/>
        <v>38</v>
      </c>
      <c r="I27" s="45">
        <f t="shared" si="6"/>
        <v>0.7450980392156863</v>
      </c>
      <c r="J27" s="7"/>
      <c r="K27" s="7"/>
      <c r="L27" s="7"/>
      <c r="M27" s="8"/>
      <c r="N27" s="38" t="s">
        <v>36</v>
      </c>
      <c r="O27" s="39">
        <f>E128</f>
        <v>17</v>
      </c>
      <c r="P27" s="74">
        <f>H128</f>
        <v>2</v>
      </c>
      <c r="Q27" s="41">
        <f t="shared" si="4"/>
        <v>0.11764705882352941</v>
      </c>
      <c r="R27" s="64"/>
      <c r="U27" s="161"/>
      <c r="W27" s="49" t="s">
        <v>160</v>
      </c>
      <c r="X27" s="43" t="s">
        <v>152</v>
      </c>
      <c r="Y27" s="43">
        <v>11</v>
      </c>
      <c r="Z27" s="22"/>
      <c r="AA27" s="22"/>
      <c r="AB27" s="139">
        <f t="shared" si="1"/>
        <v>11</v>
      </c>
    </row>
    <row r="28" spans="2:28" ht="15" customHeight="1">
      <c r="B28" s="109">
        <f>'[1]POOL-joueus'!$B$253</f>
        <v>20.517808219178082</v>
      </c>
      <c r="C28" s="109" t="str">
        <f>'[1]POOL-joueus'!$C$253</f>
        <v>Pit</v>
      </c>
      <c r="D28" s="111" t="str">
        <f>'[1]POOL-joueus'!$D$253</f>
        <v>Jordan Staal</v>
      </c>
      <c r="E28" s="108">
        <f>'[1]POOL-joueus'!$E$253</f>
        <v>69</v>
      </c>
      <c r="F28" s="108">
        <f>'[1]POOL-joueus'!$F$253</f>
        <v>18</v>
      </c>
      <c r="G28" s="108">
        <f>'[1]POOL-joueus'!$G$253</f>
        <v>19</v>
      </c>
      <c r="H28" s="44">
        <f t="shared" si="5"/>
        <v>37</v>
      </c>
      <c r="I28" s="45">
        <f t="shared" si="6"/>
        <v>0.5362318840579711</v>
      </c>
      <c r="J28" s="7"/>
      <c r="K28" s="7"/>
      <c r="L28" s="7"/>
      <c r="M28" s="8"/>
      <c r="N28" s="42" t="s">
        <v>37</v>
      </c>
      <c r="O28" s="22">
        <f>SUM(O22:O27)</f>
        <v>666</v>
      </c>
      <c r="P28" s="72">
        <f>SUM(P22:P27)</f>
        <v>373</v>
      </c>
      <c r="Q28" s="23">
        <f t="shared" si="4"/>
        <v>0.56006006006006</v>
      </c>
      <c r="R28" s="22">
        <f>'[2]Individuel'!$I$61</f>
        <v>420.7</v>
      </c>
      <c r="U28" s="161"/>
      <c r="W28" s="49" t="s">
        <v>161</v>
      </c>
      <c r="X28" s="43" t="s">
        <v>154</v>
      </c>
      <c r="Y28" s="43">
        <v>36</v>
      </c>
      <c r="Z28" s="22"/>
      <c r="AA28" s="22"/>
      <c r="AB28" s="139">
        <f t="shared" si="1"/>
        <v>36</v>
      </c>
    </row>
    <row r="29" spans="2:28" ht="15" customHeight="1" thickBot="1">
      <c r="B29" s="185">
        <f>'[1]POOL-joueus'!$B$328</f>
        <v>22.676712328767124</v>
      </c>
      <c r="C29" s="185" t="str">
        <f>'[1]POOL-joueus'!$C$328</f>
        <v>Pit</v>
      </c>
      <c r="D29" s="186" t="str">
        <f>'[1]POOL-joueus'!$D$328</f>
        <v>Tyler Kennedy</v>
      </c>
      <c r="E29" s="185">
        <v>31</v>
      </c>
      <c r="F29" s="185">
        <v>7</v>
      </c>
      <c r="G29" s="185">
        <v>11</v>
      </c>
      <c r="H29" s="187">
        <f t="shared" si="5"/>
        <v>18</v>
      </c>
      <c r="I29" s="188">
        <f t="shared" si="6"/>
        <v>0.5806451612903226</v>
      </c>
      <c r="J29" s="7"/>
      <c r="K29" s="7"/>
      <c r="L29" s="7"/>
      <c r="M29" s="8"/>
      <c r="U29" s="161"/>
      <c r="W29" s="49" t="s">
        <v>165</v>
      </c>
      <c r="X29" s="43" t="s">
        <v>146</v>
      </c>
      <c r="Y29" s="43">
        <v>26.5</v>
      </c>
      <c r="Z29" s="28"/>
      <c r="AA29" s="28"/>
      <c r="AB29" s="160"/>
    </row>
    <row r="30" spans="2:28" ht="15" customHeight="1">
      <c r="B30" s="185">
        <f>'[1]POOL-joueus'!$B$251</f>
        <v>29.542465753424658</v>
      </c>
      <c r="C30" s="185" t="str">
        <f>'[1]POOL-joueus'!$C$251</f>
        <v>Buf</v>
      </c>
      <c r="D30" s="186" t="str">
        <f>'[1]POOL-joueus'!$D$251</f>
        <v>Maxim Afinogenov</v>
      </c>
      <c r="E30" s="185">
        <v>31</v>
      </c>
      <c r="F30" s="185">
        <v>1</v>
      </c>
      <c r="G30" s="185">
        <v>10</v>
      </c>
      <c r="H30" s="187">
        <f t="shared" si="5"/>
        <v>11</v>
      </c>
      <c r="I30" s="188">
        <f t="shared" si="6"/>
        <v>0.3548387096774194</v>
      </c>
      <c r="J30" s="7"/>
      <c r="K30" s="7"/>
      <c r="L30" s="7"/>
      <c r="M30" s="8"/>
      <c r="N30" s="265" t="s">
        <v>60</v>
      </c>
      <c r="O30" s="266"/>
      <c r="P30" s="266"/>
      <c r="Q30" s="266"/>
      <c r="R30" s="267"/>
      <c r="U30" s="161"/>
      <c r="W30" s="159"/>
      <c r="X30" s="298" t="s">
        <v>81</v>
      </c>
      <c r="Y30" s="299"/>
      <c r="Z30" s="298" t="s">
        <v>158</v>
      </c>
      <c r="AA30" s="299"/>
      <c r="AB30" s="160"/>
    </row>
    <row r="31" spans="2:28" ht="15" customHeight="1" thickBot="1">
      <c r="B31" s="107">
        <f>'[1]POOL-joueus'!$B$162</f>
        <v>23.383561643835616</v>
      </c>
      <c r="C31" s="107" t="str">
        <f>'[1]POOL-joueus'!$C$162</f>
        <v>Buf</v>
      </c>
      <c r="D31" s="124" t="str">
        <f>'[1]POOL-joueus'!$D$162</f>
        <v>Drew Stafford</v>
      </c>
      <c r="E31" s="107">
        <f>'[1]POOL-joueus'!$E$162</f>
        <v>64</v>
      </c>
      <c r="F31" s="107">
        <f>'[1]POOL-joueus'!$F$162</f>
        <v>19</v>
      </c>
      <c r="G31" s="107">
        <f>'[1]POOL-joueus'!$G$162</f>
        <v>22</v>
      </c>
      <c r="H31" s="44">
        <f t="shared" si="5"/>
        <v>41</v>
      </c>
      <c r="I31" s="45">
        <f t="shared" si="6"/>
        <v>0.640625</v>
      </c>
      <c r="J31" s="7"/>
      <c r="K31" s="7"/>
      <c r="L31" s="7"/>
      <c r="M31" s="8"/>
      <c r="N31" s="16" t="s">
        <v>8</v>
      </c>
      <c r="O31" s="17" t="s">
        <v>9</v>
      </c>
      <c r="P31" s="17" t="s">
        <v>62</v>
      </c>
      <c r="Q31" s="18" t="s">
        <v>11</v>
      </c>
      <c r="R31" s="19" t="s">
        <v>68</v>
      </c>
      <c r="U31" s="161"/>
      <c r="W31" s="49" t="s">
        <v>167</v>
      </c>
      <c r="X31" s="259">
        <v>1</v>
      </c>
      <c r="Y31" s="260"/>
      <c r="Z31" s="259"/>
      <c r="AA31" s="260"/>
      <c r="AB31" s="140">
        <f>SUM(X31:Y31)</f>
        <v>1</v>
      </c>
    </row>
    <row r="32" spans="2:28" ht="15" customHeight="1" thickTop="1">
      <c r="B32" s="107">
        <f>'[1]POOL-joueus'!$B$123</f>
        <v>40.16164383561644</v>
      </c>
      <c r="C32" s="107" t="str">
        <f>'[1]POOL-joueus'!$C$123</f>
        <v>N.J.</v>
      </c>
      <c r="D32" s="124" t="str">
        <f>'[1]POOL-joueus'!$D$123</f>
        <v>Brendan Shanahan</v>
      </c>
      <c r="E32" s="107">
        <f>('[1]POOL-joueus'!$E$123)-1</f>
        <v>19</v>
      </c>
      <c r="F32" s="107">
        <f>('[1]POOL-joueus'!$F$123)-1</f>
        <v>3</v>
      </c>
      <c r="G32" s="107">
        <f>('[1]POOL-joueus'!$G$123)-0</f>
        <v>6</v>
      </c>
      <c r="H32" s="44">
        <f>SUM(F32:G32)</f>
        <v>9</v>
      </c>
      <c r="I32" s="45">
        <f>H32/E32</f>
        <v>0.47368421052631576</v>
      </c>
      <c r="J32" s="7"/>
      <c r="K32" s="7"/>
      <c r="L32" s="7"/>
      <c r="M32" s="8"/>
      <c r="N32" s="20" t="s">
        <v>21</v>
      </c>
      <c r="O32" s="69"/>
      <c r="P32" s="22">
        <f>F38+F48+F62+F68</f>
        <v>319</v>
      </c>
      <c r="Q32" s="23">
        <f>P32/O34</f>
        <v>0.25257323832145684</v>
      </c>
      <c r="R32" s="22">
        <f>'[2]Individuel'!$D$47</f>
        <v>320.7</v>
      </c>
      <c r="U32" s="161"/>
      <c r="W32" s="49" t="s">
        <v>168</v>
      </c>
      <c r="X32" s="259">
        <v>3</v>
      </c>
      <c r="Y32" s="260"/>
      <c r="Z32" s="259">
        <v>3</v>
      </c>
      <c r="AA32" s="260"/>
      <c r="AB32" s="140">
        <f>SUM(X32:Z32)</f>
        <v>6</v>
      </c>
    </row>
    <row r="33" spans="2:28" ht="15" customHeight="1">
      <c r="B33" s="109">
        <f>'[1]POOL-joueus'!$B$129</f>
        <v>38.367123287671234</v>
      </c>
      <c r="C33" s="109" t="str">
        <f>'[1]POOL-joueus'!$C$129</f>
        <v>Pit</v>
      </c>
      <c r="D33" s="111" t="str">
        <f>'[1]POOL-joueus'!$D$129</f>
        <v>Bill Guerin</v>
      </c>
      <c r="E33" s="109">
        <f>('[1]POOL-joueus'!$E$129)-30</f>
        <v>35</v>
      </c>
      <c r="F33" s="109">
        <f>('[1]POOL-joueus'!$F$129)-10</f>
        <v>7</v>
      </c>
      <c r="G33" s="109">
        <f>('[1]POOL-joueus'!$G$129)-9</f>
        <v>15</v>
      </c>
      <c r="H33" s="44">
        <f t="shared" si="5"/>
        <v>22</v>
      </c>
      <c r="I33" s="45">
        <f t="shared" si="6"/>
        <v>0.6285714285714286</v>
      </c>
      <c r="J33" s="7"/>
      <c r="K33" s="7"/>
      <c r="L33" s="7"/>
      <c r="M33" s="8"/>
      <c r="N33" s="26" t="s">
        <v>30</v>
      </c>
      <c r="O33" s="69"/>
      <c r="P33" s="28">
        <f>G38+G48+G62+G68</f>
        <v>514</v>
      </c>
      <c r="Q33" s="29">
        <f>P33/O34</f>
        <v>0.4069675376088678</v>
      </c>
      <c r="R33" s="28">
        <f>'[2]Individuel'!$I$47</f>
        <v>539.3</v>
      </c>
      <c r="U33" s="161"/>
      <c r="W33" s="49" t="s">
        <v>89</v>
      </c>
      <c r="X33" s="259">
        <v>1</v>
      </c>
      <c r="Y33" s="260"/>
      <c r="Z33" s="259"/>
      <c r="AA33" s="260"/>
      <c r="AB33" s="140">
        <f>SUM(X33:Y33)</f>
        <v>1</v>
      </c>
    </row>
    <row r="34" spans="2:28" ht="15" customHeight="1">
      <c r="B34" s="185">
        <f>'[1]POOL-joueus'!$B$115</f>
        <v>41.13972602739726</v>
      </c>
      <c r="C34" s="185" t="str">
        <f>'[1]POOL-joueus'!$C$115</f>
        <v>Bos</v>
      </c>
      <c r="D34" s="186" t="str">
        <f>'[1]POOL-joueus'!$D$115</f>
        <v>Mark Recchi</v>
      </c>
      <c r="E34" s="185">
        <v>6</v>
      </c>
      <c r="F34" s="185">
        <v>1</v>
      </c>
      <c r="G34" s="185">
        <v>4</v>
      </c>
      <c r="H34" s="187">
        <f>SUM(F34:G34)</f>
        <v>5</v>
      </c>
      <c r="I34" s="188">
        <f>H34/E34</f>
        <v>0.8333333333333334</v>
      </c>
      <c r="J34" s="7"/>
      <c r="K34" s="7"/>
      <c r="L34" s="7"/>
      <c r="M34" s="8"/>
      <c r="N34" s="26" t="s">
        <v>55</v>
      </c>
      <c r="O34" s="27">
        <f>E38+E48+E62+E68</f>
        <v>1263</v>
      </c>
      <c r="P34" s="28">
        <f>SUM(P32:P33)</f>
        <v>833</v>
      </c>
      <c r="Q34" s="29">
        <f>P34/O34</f>
        <v>0.6595407759303247</v>
      </c>
      <c r="R34" s="28">
        <f>'[2]Individuel'!$N$47</f>
        <v>860</v>
      </c>
      <c r="U34" s="161"/>
      <c r="W34" s="49" t="s">
        <v>194</v>
      </c>
      <c r="X34" s="259">
        <v>2</v>
      </c>
      <c r="Y34" s="260"/>
      <c r="Z34" s="259"/>
      <c r="AA34" s="260"/>
      <c r="AB34" s="140">
        <f>X34</f>
        <v>2</v>
      </c>
    </row>
    <row r="35" spans="2:28" ht="15" customHeight="1">
      <c r="B35" s="183">
        <f>'[1]POOL-joueus'!$B$136</f>
        <v>30.254794520547946</v>
      </c>
      <c r="C35" s="183" t="str">
        <f>'[1]POOL-joueus'!$C$136</f>
        <v>Det</v>
      </c>
      <c r="D35" s="184" t="str">
        <f>'[1]POOL-joueus'!$D$136</f>
        <v>Daniel Cleary</v>
      </c>
      <c r="E35" s="183">
        <v>5</v>
      </c>
      <c r="F35" s="183">
        <v>0</v>
      </c>
      <c r="G35" s="183">
        <v>2</v>
      </c>
      <c r="H35" s="187">
        <f t="shared" si="5"/>
        <v>2</v>
      </c>
      <c r="I35" s="188">
        <f t="shared" si="6"/>
        <v>0.4</v>
      </c>
      <c r="J35" s="7"/>
      <c r="K35" s="7"/>
      <c r="L35" s="7"/>
      <c r="M35" s="8"/>
      <c r="N35" s="26" t="s">
        <v>56</v>
      </c>
      <c r="O35" s="67"/>
      <c r="P35" s="63"/>
      <c r="Q35" s="68"/>
      <c r="R35" s="29">
        <f>'[2]Individuel'!$D$61</f>
        <v>0.6703402518874818</v>
      </c>
      <c r="U35" s="161"/>
      <c r="W35" s="49" t="s">
        <v>132</v>
      </c>
      <c r="X35" s="268">
        <v>55</v>
      </c>
      <c r="Y35" s="269"/>
      <c r="Z35" s="268"/>
      <c r="AA35" s="269"/>
      <c r="AB35" s="157">
        <f>SUM(X35:Y35)</f>
        <v>55</v>
      </c>
    </row>
    <row r="36" spans="2:21" ht="15" customHeight="1">
      <c r="B36" s="189">
        <f>'[1]POOL-joueus'!$B$17</f>
        <v>27.09315068493151</v>
      </c>
      <c r="C36" s="189" t="str">
        <f>'[1]POOL-joueus'!$C$17</f>
        <v>Min</v>
      </c>
      <c r="D36" s="190" t="str">
        <f>'[1]POOL-joueus'!$D$17</f>
        <v>Marian Gaborik</v>
      </c>
      <c r="E36" s="185">
        <v>5</v>
      </c>
      <c r="F36" s="185">
        <v>2</v>
      </c>
      <c r="G36" s="185">
        <v>1</v>
      </c>
      <c r="H36" s="187">
        <f t="shared" si="5"/>
        <v>3</v>
      </c>
      <c r="I36" s="188">
        <f t="shared" si="6"/>
        <v>0.6</v>
      </c>
      <c r="J36" s="7"/>
      <c r="K36" s="7"/>
      <c r="L36" s="7"/>
      <c r="M36" s="8"/>
      <c r="N36" s="26" t="s">
        <v>57</v>
      </c>
      <c r="O36" s="27">
        <f>E20</f>
        <v>112</v>
      </c>
      <c r="P36" s="28">
        <f>F20</f>
        <v>61</v>
      </c>
      <c r="Q36" s="29">
        <f>P36/O36</f>
        <v>0.5446428571428571</v>
      </c>
      <c r="R36" s="28">
        <f>'[2]Individuel'!$D$75</f>
        <v>59.9</v>
      </c>
      <c r="U36" s="161"/>
    </row>
    <row r="37" spans="2:31" ht="15" customHeight="1" thickBot="1">
      <c r="B37" s="108"/>
      <c r="C37" s="108"/>
      <c r="D37" s="110"/>
      <c r="E37" s="113"/>
      <c r="F37" s="113"/>
      <c r="G37" s="113"/>
      <c r="H37" s="37">
        <f t="shared" si="5"/>
        <v>0</v>
      </c>
      <c r="I37" s="46" t="e">
        <f t="shared" si="6"/>
        <v>#DIV/0!</v>
      </c>
      <c r="J37" s="7"/>
      <c r="K37" s="7"/>
      <c r="L37" s="7"/>
      <c r="M37" s="8"/>
      <c r="N37" s="34" t="s">
        <v>58</v>
      </c>
      <c r="O37" s="27">
        <f>E20</f>
        <v>112</v>
      </c>
      <c r="P37" s="28">
        <f>H20</f>
        <v>8</v>
      </c>
      <c r="Q37" s="29">
        <f>P37/O37</f>
        <v>0.07142857142857142</v>
      </c>
      <c r="R37" s="28">
        <f>'[2]Individuel'!$I$75</f>
        <v>7.1</v>
      </c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</row>
    <row r="38" spans="2:21" ht="15" customHeight="1">
      <c r="B38" s="274" t="s">
        <v>26</v>
      </c>
      <c r="C38" s="275"/>
      <c r="D38" s="255"/>
      <c r="E38" s="14">
        <f>SUM(E24:E37)</f>
        <v>511</v>
      </c>
      <c r="F38" s="14">
        <f>SUM(F24:F37)</f>
        <v>161</v>
      </c>
      <c r="G38" s="14">
        <f>SUM(G24:G37)</f>
        <v>185</v>
      </c>
      <c r="H38" s="33">
        <f t="shared" si="5"/>
        <v>346</v>
      </c>
      <c r="I38" s="50">
        <f t="shared" si="6"/>
        <v>0.6771037181996086</v>
      </c>
      <c r="J38" s="7"/>
      <c r="K38" s="7"/>
      <c r="L38" s="7"/>
      <c r="M38" s="8"/>
      <c r="N38" s="26" t="s">
        <v>59</v>
      </c>
      <c r="O38" s="27">
        <f>E20</f>
        <v>112</v>
      </c>
      <c r="P38" s="28">
        <f>G20</f>
        <v>10</v>
      </c>
      <c r="Q38" s="29">
        <f>P38/O38</f>
        <v>0.08928571428571429</v>
      </c>
      <c r="R38" s="28">
        <f>'[2]Individuel'!$N$75</f>
        <v>13.6</v>
      </c>
      <c r="U38" s="161"/>
    </row>
    <row r="39" spans="2:21" ht="15" customHeight="1" thickBo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8"/>
      <c r="N39" s="26" t="s">
        <v>38</v>
      </c>
      <c r="O39" s="70">
        <f>(B15+B17+B24+B25+B26+B27+B28+B31+B33+B36+B42+B43+B44+B46+B52+B53+B54+B55+B56+B57+B66+B67+B78+B79+B86+B87+B92+B89+B93+B95+B101+B102+B104+B111+B112+B114+B117+B119+B125)/39</f>
        <v>27.525184404636466</v>
      </c>
      <c r="P39" s="61"/>
      <c r="Q39" s="62"/>
      <c r="R39" s="63"/>
      <c r="U39" s="161"/>
    </row>
    <row r="40" spans="2:30" ht="15" customHeight="1" thickBot="1">
      <c r="B40" s="256" t="s">
        <v>24</v>
      </c>
      <c r="C40" s="257"/>
      <c r="D40" s="257"/>
      <c r="E40" s="257"/>
      <c r="F40" s="257"/>
      <c r="G40" s="257"/>
      <c r="H40" s="257"/>
      <c r="I40" s="258"/>
      <c r="J40" s="7"/>
      <c r="K40" s="7"/>
      <c r="L40" s="7"/>
      <c r="M40" s="8"/>
      <c r="N40" s="34" t="s">
        <v>39</v>
      </c>
      <c r="O40" s="70"/>
      <c r="P40" s="61"/>
      <c r="Q40" s="62"/>
      <c r="R40" s="63"/>
      <c r="U40" s="161"/>
      <c r="W40" s="265" t="s">
        <v>162</v>
      </c>
      <c r="X40" s="266"/>
      <c r="Y40" s="266"/>
      <c r="Z40" s="266"/>
      <c r="AA40" s="266"/>
      <c r="AB40" s="266"/>
      <c r="AC40" s="266"/>
      <c r="AD40" s="267"/>
    </row>
    <row r="41" spans="2:30" ht="15" customHeight="1" thickBot="1">
      <c r="B41" s="30" t="s">
        <v>15</v>
      </c>
      <c r="C41" s="30" t="s">
        <v>29</v>
      </c>
      <c r="D41" s="30" t="s">
        <v>17</v>
      </c>
      <c r="E41" s="31" t="s">
        <v>2</v>
      </c>
      <c r="F41" s="31" t="s">
        <v>21</v>
      </c>
      <c r="G41" s="31" t="s">
        <v>30</v>
      </c>
      <c r="H41" s="32" t="s">
        <v>6</v>
      </c>
      <c r="I41" s="31" t="s">
        <v>11</v>
      </c>
      <c r="J41" s="7"/>
      <c r="K41" s="7"/>
      <c r="L41" s="7"/>
      <c r="M41" s="8"/>
      <c r="N41" s="26" t="s">
        <v>40</v>
      </c>
      <c r="O41" s="70">
        <f>(B15+B18+B24+B25+B26+B27+B42+B43+B44+B46+B52+B53+B54+B55+B67+B28+B29+B30+B36+B56+B60+B66)/22</f>
        <v>27.044084682440847</v>
      </c>
      <c r="P41" s="59"/>
      <c r="Q41" s="60"/>
      <c r="R41" s="125" t="e">
        <f>'[2]Individuel'!$N$61</f>
        <v>#REF!</v>
      </c>
      <c r="U41" s="161"/>
      <c r="W41" s="65" t="s">
        <v>8</v>
      </c>
      <c r="X41" s="66" t="s">
        <v>9</v>
      </c>
      <c r="Y41" s="66" t="s">
        <v>10</v>
      </c>
      <c r="Z41" s="66"/>
      <c r="AA41" s="66"/>
      <c r="AB41" s="65" t="s">
        <v>11</v>
      </c>
      <c r="AC41" s="65" t="s">
        <v>68</v>
      </c>
      <c r="AD41" s="65" t="s">
        <v>41</v>
      </c>
    </row>
    <row r="42" spans="2:30" ht="15" customHeight="1" thickBot="1" thickTop="1">
      <c r="B42" s="109">
        <f>'[1]POOL-joueus'!$B$6</f>
        <v>22.632876712328766</v>
      </c>
      <c r="C42" s="109" t="str">
        <f>'[1]POOL-joueus'!$C$6</f>
        <v>Pit</v>
      </c>
      <c r="D42" s="111" t="str">
        <f>'[1]POOL-joueus'!$D$6</f>
        <v>Evgeni Malkin</v>
      </c>
      <c r="E42" s="109">
        <f>'[1]POOL-joueus'!$E$6</f>
        <v>69</v>
      </c>
      <c r="F42" s="109">
        <f>'[1]POOL-joueus'!$F$6</f>
        <v>30</v>
      </c>
      <c r="G42" s="109">
        <f>'[1]POOL-joueus'!$G$6</f>
        <v>67</v>
      </c>
      <c r="H42" s="44">
        <f aca="true" t="shared" si="7" ref="H42:H48">SUM(F42:G42)</f>
        <v>97</v>
      </c>
      <c r="I42" s="45">
        <f aca="true" t="shared" si="8" ref="I42:I48">H42/E42</f>
        <v>1.4057971014492754</v>
      </c>
      <c r="J42" s="145"/>
      <c r="K42" s="7"/>
      <c r="L42" s="7"/>
      <c r="M42" s="8"/>
      <c r="U42" s="161"/>
      <c r="W42" s="48" t="s">
        <v>42</v>
      </c>
      <c r="X42" s="21">
        <v>239</v>
      </c>
      <c r="Y42" s="22">
        <v>183</v>
      </c>
      <c r="Z42" s="22"/>
      <c r="AA42" s="22"/>
      <c r="AB42" s="23">
        <v>0.7656903765690377</v>
      </c>
      <c r="AC42" s="22">
        <v>191.9</v>
      </c>
      <c r="AD42" s="22" t="s">
        <v>151</v>
      </c>
    </row>
    <row r="43" spans="2:30" ht="15" customHeight="1">
      <c r="B43" s="109">
        <f>'[1]POOL-joueus'!$B$32</f>
        <v>21.613698630136987</v>
      </c>
      <c r="C43" s="109" t="str">
        <f>'[1]POOL-joueus'!$C$32</f>
        <v>Pit</v>
      </c>
      <c r="D43" s="111" t="str">
        <f>'[1]POOL-joueus'!$D$32</f>
        <v>Sidney Crosby</v>
      </c>
      <c r="E43" s="109">
        <f>'[1]POOL-joueus'!$E$32</f>
        <v>64</v>
      </c>
      <c r="F43" s="109">
        <f>'[1]POOL-joueus'!$F$32</f>
        <v>26</v>
      </c>
      <c r="G43" s="109">
        <f>'[1]POOL-joueus'!$G$32</f>
        <v>60</v>
      </c>
      <c r="H43" s="44">
        <f t="shared" si="7"/>
        <v>86</v>
      </c>
      <c r="I43" s="45">
        <f t="shared" si="8"/>
        <v>1.34375</v>
      </c>
      <c r="J43" s="7"/>
      <c r="K43" s="7"/>
      <c r="L43" s="7"/>
      <c r="M43" s="8"/>
      <c r="N43" s="265" t="s">
        <v>61</v>
      </c>
      <c r="O43" s="266"/>
      <c r="P43" s="266"/>
      <c r="Q43" s="266"/>
      <c r="R43" s="266"/>
      <c r="S43" s="267"/>
      <c r="T43" s="53"/>
      <c r="U43" s="161"/>
      <c r="W43" s="49" t="s">
        <v>43</v>
      </c>
      <c r="X43" s="21">
        <v>296</v>
      </c>
      <c r="Y43" s="22">
        <v>194</v>
      </c>
      <c r="Z43" s="22"/>
      <c r="AA43" s="22"/>
      <c r="AB43" s="23">
        <v>0.6554054054054054</v>
      </c>
      <c r="AC43" s="22">
        <v>207.1</v>
      </c>
      <c r="AD43" s="28" t="s">
        <v>152</v>
      </c>
    </row>
    <row r="44" spans="2:30" ht="15" customHeight="1" thickBot="1">
      <c r="B44" s="107">
        <f>'[1]POOL-joueus'!$B$87</f>
        <v>20.884931506849316</v>
      </c>
      <c r="C44" s="107" t="str">
        <f>'[1]POOL-joueus'!$C$87</f>
        <v>Chi</v>
      </c>
      <c r="D44" s="124" t="str">
        <f>'[1]POOL-joueus'!$D$87</f>
        <v>Jonathan Toews</v>
      </c>
      <c r="E44" s="107">
        <f>'[1]POOL-joueus'!$E$87</f>
        <v>65</v>
      </c>
      <c r="F44" s="107">
        <f>'[1]POOL-joueus'!$F$87</f>
        <v>28</v>
      </c>
      <c r="G44" s="107">
        <f>'[1]POOL-joueus'!$G$87</f>
        <v>29</v>
      </c>
      <c r="H44" s="44">
        <f t="shared" si="7"/>
        <v>57</v>
      </c>
      <c r="I44" s="45">
        <f t="shared" si="8"/>
        <v>0.8769230769230769</v>
      </c>
      <c r="J44" s="7"/>
      <c r="K44" s="7"/>
      <c r="L44" s="7"/>
      <c r="M44" s="8"/>
      <c r="N44" s="65" t="s">
        <v>8</v>
      </c>
      <c r="O44" s="66" t="s">
        <v>9</v>
      </c>
      <c r="P44" s="66" t="s">
        <v>10</v>
      </c>
      <c r="Q44" s="65" t="s">
        <v>11</v>
      </c>
      <c r="R44" s="65" t="s">
        <v>68</v>
      </c>
      <c r="S44" s="65" t="s">
        <v>41</v>
      </c>
      <c r="T44" s="164"/>
      <c r="U44" s="161"/>
      <c r="W44" s="49" t="s">
        <v>44</v>
      </c>
      <c r="X44" s="21">
        <v>307</v>
      </c>
      <c r="Y44" s="22">
        <v>209</v>
      </c>
      <c r="Z44" s="22"/>
      <c r="AA44" s="22"/>
      <c r="AB44" s="23">
        <v>0.6807817589576547</v>
      </c>
      <c r="AC44" s="22">
        <v>226.7</v>
      </c>
      <c r="AD44" s="28" t="s">
        <v>154</v>
      </c>
    </row>
    <row r="45" spans="2:30" ht="15" customHeight="1" thickTop="1">
      <c r="B45" s="180">
        <f>'[1]POOL-joueus'!$B$186</f>
        <v>24.997260273972604</v>
      </c>
      <c r="C45" s="180" t="str">
        <f>'[1]POOL-joueus'!$C$186</f>
        <v>Det</v>
      </c>
      <c r="D45" s="181" t="str">
        <f>'[1]POOL-joueus'!$D$186</f>
        <v>Valtteri Filppula</v>
      </c>
      <c r="E45" s="180">
        <v>26</v>
      </c>
      <c r="F45" s="180">
        <v>3</v>
      </c>
      <c r="G45" s="180">
        <v>9</v>
      </c>
      <c r="H45" s="187">
        <f t="shared" si="7"/>
        <v>12</v>
      </c>
      <c r="I45" s="188">
        <f t="shared" si="8"/>
        <v>0.46153846153846156</v>
      </c>
      <c r="J45" s="7"/>
      <c r="K45" s="7"/>
      <c r="L45" s="7"/>
      <c r="M45" s="8"/>
      <c r="N45" s="48" t="s">
        <v>233</v>
      </c>
      <c r="O45" s="21">
        <v>209</v>
      </c>
      <c r="P45" s="22">
        <v>143</v>
      </c>
      <c r="Q45" s="23">
        <f>P45/O45</f>
        <v>0.6842105263157895</v>
      </c>
      <c r="R45" s="22">
        <v>169.2</v>
      </c>
      <c r="S45" s="22" t="s">
        <v>154</v>
      </c>
      <c r="T45" s="53"/>
      <c r="U45" s="161"/>
      <c r="W45" s="49" t="s">
        <v>45</v>
      </c>
      <c r="X45" s="21">
        <v>264</v>
      </c>
      <c r="Y45" s="22">
        <v>212</v>
      </c>
      <c r="Z45" s="22"/>
      <c r="AA45" s="22"/>
      <c r="AB45" s="23">
        <v>0.803030303030303</v>
      </c>
      <c r="AC45" s="22">
        <v>201.4</v>
      </c>
      <c r="AD45" s="28" t="s">
        <v>148</v>
      </c>
    </row>
    <row r="46" spans="2:30" ht="15" customHeight="1">
      <c r="B46" s="109">
        <f>'[1]POOL-joueus'!$B$68</f>
        <v>36.07945205479452</v>
      </c>
      <c r="C46" s="109" t="str">
        <f>'[1]POOL-joueus'!$C$68</f>
        <v>N.J.</v>
      </c>
      <c r="D46" s="111" t="str">
        <f>'[1]POOL-joueus'!$D$68</f>
        <v>Brian Rolston</v>
      </c>
      <c r="E46" s="109">
        <f>('[1]POOL-joueus'!$E$68)-1</f>
        <v>48</v>
      </c>
      <c r="F46" s="109">
        <f>('[1]POOL-joueus'!$F$68)</f>
        <v>13</v>
      </c>
      <c r="G46" s="109">
        <f>('[1]POOL-joueus'!$G$68)</f>
        <v>12</v>
      </c>
      <c r="H46" s="44">
        <f t="shared" si="7"/>
        <v>25</v>
      </c>
      <c r="I46" s="45">
        <f t="shared" si="8"/>
        <v>0.5208333333333334</v>
      </c>
      <c r="J46" s="7"/>
      <c r="K46" s="7"/>
      <c r="L46" s="7"/>
      <c r="M46" s="8"/>
      <c r="N46" s="49" t="s">
        <v>175</v>
      </c>
      <c r="O46" s="21">
        <v>279</v>
      </c>
      <c r="P46" s="22">
        <v>240</v>
      </c>
      <c r="Q46" s="23">
        <f>P46/O46</f>
        <v>0.8602150537634409</v>
      </c>
      <c r="R46" s="22">
        <v>220.7</v>
      </c>
      <c r="S46" s="28" t="s">
        <v>146</v>
      </c>
      <c r="T46" s="53"/>
      <c r="U46" s="161"/>
      <c r="W46" s="49" t="s">
        <v>46</v>
      </c>
      <c r="X46" s="21">
        <v>283</v>
      </c>
      <c r="Y46" s="22">
        <v>228</v>
      </c>
      <c r="Z46" s="22"/>
      <c r="AA46" s="22"/>
      <c r="AB46" s="23">
        <v>0.8056537102473498</v>
      </c>
      <c r="AC46" s="22">
        <v>207.9</v>
      </c>
      <c r="AD46" s="28" t="s">
        <v>146</v>
      </c>
    </row>
    <row r="47" spans="2:30" ht="15" customHeight="1" thickBot="1">
      <c r="B47" s="180">
        <f>'[1]POOL-joueus'!$B$278</f>
        <v>33.6</v>
      </c>
      <c r="C47" s="180" t="str">
        <f>'[1]POOL-joueus'!$C$278</f>
        <v>Dal</v>
      </c>
      <c r="D47" s="181" t="str">
        <f>'[1]POOL-joueus'!$D$278</f>
        <v>Brendan Morrison</v>
      </c>
      <c r="E47" s="196">
        <v>3</v>
      </c>
      <c r="F47" s="196">
        <v>0</v>
      </c>
      <c r="G47" s="196">
        <v>1</v>
      </c>
      <c r="H47" s="197">
        <f t="shared" si="7"/>
        <v>1</v>
      </c>
      <c r="I47" s="198">
        <f t="shared" si="8"/>
        <v>0.3333333333333333</v>
      </c>
      <c r="J47" s="145"/>
      <c r="K47" s="7"/>
      <c r="L47" s="7"/>
      <c r="M47" s="8"/>
      <c r="N47" s="49" t="s">
        <v>176</v>
      </c>
      <c r="O47" s="21">
        <v>301</v>
      </c>
      <c r="P47" s="22">
        <v>210</v>
      </c>
      <c r="Q47" s="23">
        <f>P47/O47</f>
        <v>0.6976744186046512</v>
      </c>
      <c r="R47" s="22">
        <v>236.9</v>
      </c>
      <c r="S47" s="28" t="s">
        <v>154</v>
      </c>
      <c r="T47" s="53"/>
      <c r="U47" s="161"/>
      <c r="W47" s="49" t="s">
        <v>47</v>
      </c>
      <c r="X47" s="21">
        <v>309</v>
      </c>
      <c r="Y47" s="22">
        <v>272</v>
      </c>
      <c r="Z47" s="22"/>
      <c r="AA47" s="22"/>
      <c r="AB47" s="23">
        <v>0.8802588996763754</v>
      </c>
      <c r="AC47" s="22">
        <v>223.7</v>
      </c>
      <c r="AD47" s="28" t="s">
        <v>95</v>
      </c>
    </row>
    <row r="48" spans="2:30" ht="15" customHeight="1">
      <c r="B48" s="274" t="s">
        <v>26</v>
      </c>
      <c r="C48" s="275"/>
      <c r="D48" s="255"/>
      <c r="E48" s="14">
        <f>SUM(E42:E47)</f>
        <v>275</v>
      </c>
      <c r="F48" s="14">
        <f>SUM(F42:F47)</f>
        <v>100</v>
      </c>
      <c r="G48" s="14">
        <f>SUM(G42:G47)</f>
        <v>178</v>
      </c>
      <c r="H48" s="33">
        <f t="shared" si="7"/>
        <v>278</v>
      </c>
      <c r="I48" s="50">
        <f t="shared" si="8"/>
        <v>1.010909090909091</v>
      </c>
      <c r="J48" s="7"/>
      <c r="K48" s="7"/>
      <c r="L48" s="7"/>
      <c r="M48" s="8"/>
      <c r="N48" s="49" t="s">
        <v>177</v>
      </c>
      <c r="O48" s="21">
        <v>274</v>
      </c>
      <c r="P48" s="22">
        <v>208</v>
      </c>
      <c r="Q48" s="23">
        <f>P48/O48</f>
        <v>0.7591240875912408</v>
      </c>
      <c r="R48" s="241">
        <v>209</v>
      </c>
      <c r="S48" s="28" t="s">
        <v>149</v>
      </c>
      <c r="T48" s="53"/>
      <c r="U48" s="161"/>
      <c r="W48" s="49" t="s">
        <v>48</v>
      </c>
      <c r="X48" s="21">
        <v>53</v>
      </c>
      <c r="Y48" s="22">
        <v>41</v>
      </c>
      <c r="Z48" s="22"/>
      <c r="AA48" s="22"/>
      <c r="AB48" s="23">
        <v>0.7735849056603774</v>
      </c>
      <c r="AC48" s="22">
        <v>42.1</v>
      </c>
      <c r="AD48" s="28" t="s">
        <v>152</v>
      </c>
    </row>
    <row r="49" spans="2:21" ht="1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8"/>
      <c r="N49" s="49" t="s">
        <v>178</v>
      </c>
      <c r="O49" s="21"/>
      <c r="P49" s="22"/>
      <c r="Q49" s="23"/>
      <c r="R49" s="22"/>
      <c r="S49" s="28"/>
      <c r="T49" s="53"/>
      <c r="U49" s="161"/>
    </row>
    <row r="50" spans="2:21" ht="15" customHeight="1" thickBot="1">
      <c r="B50" s="256" t="s">
        <v>25</v>
      </c>
      <c r="C50" s="257"/>
      <c r="D50" s="257"/>
      <c r="E50" s="257"/>
      <c r="F50" s="257"/>
      <c r="G50" s="257"/>
      <c r="H50" s="257"/>
      <c r="I50" s="258"/>
      <c r="J50" s="7"/>
      <c r="K50" s="7"/>
      <c r="L50" s="7"/>
      <c r="M50" s="8"/>
      <c r="N50" s="49" t="s">
        <v>180</v>
      </c>
      <c r="O50" s="21"/>
      <c r="P50" s="22"/>
      <c r="Q50" s="23"/>
      <c r="R50" s="22"/>
      <c r="S50" s="28"/>
      <c r="T50" s="53"/>
      <c r="U50" s="161"/>
    </row>
    <row r="51" spans="2:21" ht="15" customHeight="1" thickBot="1">
      <c r="B51" s="30" t="s">
        <v>15</v>
      </c>
      <c r="C51" s="30" t="s">
        <v>29</v>
      </c>
      <c r="D51" s="30" t="s">
        <v>17</v>
      </c>
      <c r="E51" s="31" t="s">
        <v>2</v>
      </c>
      <c r="F51" s="31" t="s">
        <v>21</v>
      </c>
      <c r="G51" s="31" t="s">
        <v>30</v>
      </c>
      <c r="H51" s="32" t="s">
        <v>6</v>
      </c>
      <c r="I51" s="31" t="s">
        <v>11</v>
      </c>
      <c r="J51" s="7"/>
      <c r="K51" s="7"/>
      <c r="L51" s="7"/>
      <c r="M51" s="8"/>
      <c r="N51" s="49" t="s">
        <v>179</v>
      </c>
      <c r="O51" s="21"/>
      <c r="P51" s="22"/>
      <c r="Q51" s="23"/>
      <c r="R51" s="22"/>
      <c r="S51" s="28"/>
      <c r="T51" s="53"/>
      <c r="U51" s="161"/>
    </row>
    <row r="52" spans="2:21" ht="15" customHeight="1" thickTop="1">
      <c r="B52" s="107">
        <f>'[1]POOL-joueus'!$B$382</f>
        <v>27.75890410958904</v>
      </c>
      <c r="C52" s="107" t="str">
        <f>'[1]POOL-joueus'!$C$382</f>
        <v>Van</v>
      </c>
      <c r="D52" s="124" t="str">
        <f>'[1]POOL-joueus'!$D$382</f>
        <v>Kevin Bieksa</v>
      </c>
      <c r="E52" s="107">
        <f>('[1]POOL-joueus'!$E$382)-2</f>
        <v>55</v>
      </c>
      <c r="F52" s="107">
        <f>('[1]POOL-joueus'!$F$382)</f>
        <v>11</v>
      </c>
      <c r="G52" s="107">
        <f>('[1]POOL-joueus'!$G$382)</f>
        <v>25</v>
      </c>
      <c r="H52" s="44">
        <f aca="true" t="shared" si="9" ref="H52:H62">SUM(F52:G52)</f>
        <v>36</v>
      </c>
      <c r="I52" s="45">
        <f aca="true" t="shared" si="10" ref="I52:I62">H52/E52</f>
        <v>0.6545454545454545</v>
      </c>
      <c r="J52" s="7"/>
      <c r="K52" s="7"/>
      <c r="L52" s="7"/>
      <c r="M52" s="8"/>
      <c r="U52" s="161"/>
    </row>
    <row r="53" spans="2:31" ht="15" customHeight="1">
      <c r="B53" s="107">
        <f>'[1]POOL-joueus'!$B$327</f>
        <v>28.432876712328767</v>
      </c>
      <c r="C53" s="107" t="str">
        <f>'[1]POOL-joueus'!$C$327</f>
        <v>Min</v>
      </c>
      <c r="D53" s="124" t="str">
        <f>'[1]POOL-joueus'!$D$327</f>
        <v>Marc-André Bergeron</v>
      </c>
      <c r="E53" s="107">
        <f>('[1]POOL-joueus'!$E$327)-3</f>
        <v>54</v>
      </c>
      <c r="F53" s="107">
        <f>('[1]POOL-joueus'!$F$327)-2</f>
        <v>8</v>
      </c>
      <c r="G53" s="107">
        <f>('[1]POOL-joueus'!$G$327)</f>
        <v>17</v>
      </c>
      <c r="H53" s="44">
        <f t="shared" si="9"/>
        <v>25</v>
      </c>
      <c r="I53" s="45">
        <f t="shared" si="10"/>
        <v>0.46296296296296297</v>
      </c>
      <c r="J53" s="7"/>
      <c r="K53" s="7"/>
      <c r="L53" s="7"/>
      <c r="M53" s="8"/>
      <c r="N53" s="1" t="s">
        <v>69</v>
      </c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</row>
    <row r="54" spans="2:21" ht="15" customHeight="1" thickBot="1">
      <c r="B54" s="189">
        <f>'[1]POOL-joueus'!$B$293</f>
        <v>33.78630136986301</v>
      </c>
      <c r="C54" s="189" t="str">
        <f>'[1]POOL-joueus'!$C$293</f>
        <v>Fla</v>
      </c>
      <c r="D54" s="190" t="str">
        <f>'[1]POOL-joueus'!$D$293</f>
        <v>Bryan Mccabe</v>
      </c>
      <c r="E54" s="189">
        <v>56</v>
      </c>
      <c r="F54" s="189">
        <v>12</v>
      </c>
      <c r="G54" s="189">
        <v>21</v>
      </c>
      <c r="H54" s="187">
        <f t="shared" si="9"/>
        <v>33</v>
      </c>
      <c r="I54" s="188">
        <f t="shared" si="10"/>
        <v>0.5892857142857143</v>
      </c>
      <c r="J54" s="7"/>
      <c r="K54" s="7"/>
      <c r="L54" s="7"/>
      <c r="M54" s="8"/>
      <c r="N54" s="1" t="s">
        <v>67</v>
      </c>
      <c r="U54" s="161"/>
    </row>
    <row r="55" spans="2:27" ht="15" customHeight="1" thickTop="1">
      <c r="B55" s="107">
        <f>'[1]POOL-joueus'!$B$116</f>
        <v>31.75068493150685</v>
      </c>
      <c r="C55" s="107" t="str">
        <f>'[1]POOL-joueus'!$C$116</f>
        <v>Car</v>
      </c>
      <c r="D55" s="124" t="str">
        <f>'[1]POOL-joueus'!$D$116</f>
        <v>Joseph Corvo</v>
      </c>
      <c r="E55" s="107">
        <f>'[1]POOL-joueus'!$E$116</f>
        <v>70</v>
      </c>
      <c r="F55" s="107">
        <f>'[1]POOL-joueus'!$F$116</f>
        <v>13</v>
      </c>
      <c r="G55" s="107">
        <f>'[1]POOL-joueus'!$G$116</f>
        <v>17</v>
      </c>
      <c r="H55" s="44">
        <f t="shared" si="9"/>
        <v>30</v>
      </c>
      <c r="I55" s="45">
        <f t="shared" si="10"/>
        <v>0.42857142857142855</v>
      </c>
      <c r="J55" s="7"/>
      <c r="K55" s="7"/>
      <c r="L55" s="7"/>
      <c r="M55" s="99"/>
      <c r="N55" s="100"/>
      <c r="O55" s="100"/>
      <c r="P55" s="100"/>
      <c r="Q55" s="100"/>
      <c r="R55" s="100"/>
      <c r="S55" s="100"/>
      <c r="T55"/>
      <c r="U55" s="161"/>
      <c r="W55" s="57" t="s">
        <v>119</v>
      </c>
      <c r="X55" s="57"/>
      <c r="Y55" s="57"/>
      <c r="Z55" s="57"/>
      <c r="AA55" s="57"/>
    </row>
    <row r="56" spans="2:21" ht="15" customHeight="1">
      <c r="B56" s="109">
        <f>'[1]POOL-joueus'!$B$332</f>
        <v>22.956164383561642</v>
      </c>
      <c r="C56" s="109" t="str">
        <f>'[1]POOL-joueus'!$C$332</f>
        <v>Chi</v>
      </c>
      <c r="D56" s="111" t="str">
        <f>'[1]POOL-joueus'!$D$332</f>
        <v>Cam Barker</v>
      </c>
      <c r="E56" s="109">
        <f>('[1]POOL-joueus'!$E$332)-17</f>
        <v>35</v>
      </c>
      <c r="F56" s="109">
        <f>('[1]POOL-joueus'!$F$332)-2</f>
        <v>2</v>
      </c>
      <c r="G56" s="109">
        <f>('[1]POOL-joueus'!$G$332)-11</f>
        <v>18</v>
      </c>
      <c r="H56" s="44">
        <f t="shared" si="9"/>
        <v>20</v>
      </c>
      <c r="I56" s="45">
        <f t="shared" si="10"/>
        <v>0.5714285714285714</v>
      </c>
      <c r="J56" s="7"/>
      <c r="K56" s="7"/>
      <c r="L56" s="7"/>
      <c r="M56" s="8"/>
      <c r="U56" s="161"/>
    </row>
    <row r="57" spans="2:31" ht="15" customHeight="1">
      <c r="B57" s="107">
        <f>'[1]POOL-joueus'!$B$157</f>
        <v>26.07945205479452</v>
      </c>
      <c r="C57" s="107" t="str">
        <f>'[1]POOL-joueus'!$C$157</f>
        <v>Ana</v>
      </c>
      <c r="D57" s="124" t="str">
        <f>'[1]POOL-joueus'!$D$157</f>
        <v>Ryan Whitney</v>
      </c>
      <c r="E57" s="107">
        <f>('[1]POOL-joueus'!$E$157)</f>
        <v>34</v>
      </c>
      <c r="F57" s="107">
        <f>('[1]POOL-joueus'!$F$157)</f>
        <v>2</v>
      </c>
      <c r="G57" s="107">
        <f>('[1]POOL-joueus'!$G$157)</f>
        <v>14</v>
      </c>
      <c r="H57" s="44">
        <f>SUM(F57:G57)</f>
        <v>16</v>
      </c>
      <c r="I57" s="45">
        <f>H57/E57</f>
        <v>0.47058823529411764</v>
      </c>
      <c r="J57" s="7"/>
      <c r="K57" s="7"/>
      <c r="L57" s="7"/>
      <c r="M57" s="8"/>
      <c r="U57" s="161"/>
      <c r="W57" s="259" t="s">
        <v>91</v>
      </c>
      <c r="X57" s="261"/>
      <c r="Y57" s="260"/>
      <c r="Z57" s="53"/>
      <c r="AA57" s="53"/>
      <c r="AC57" s="322" t="s">
        <v>91</v>
      </c>
      <c r="AD57" s="322"/>
      <c r="AE57" s="322"/>
    </row>
    <row r="58" spans="2:31" ht="15" customHeight="1">
      <c r="B58" s="107">
        <f>'[1]POOL-joueus'!$B$361</f>
        <v>24.47945205479452</v>
      </c>
      <c r="C58" s="107" t="str">
        <f>'[1]POOL-joueus'!$C$361</f>
        <v>Phi</v>
      </c>
      <c r="D58" s="124" t="str">
        <f>'[1]POOL-joueus'!$D$361</f>
        <v>Matt Carle</v>
      </c>
      <c r="E58" s="107">
        <f>('[1]POOL-joueus'!$E$361)-37</f>
        <v>22</v>
      </c>
      <c r="F58" s="107">
        <f>('[1]POOL-joueus'!$F$361)-4</f>
        <v>1</v>
      </c>
      <c r="G58" s="107">
        <f>('[1]POOL-joueus'!$G$361)-10</f>
        <v>3</v>
      </c>
      <c r="H58" s="44">
        <f t="shared" si="9"/>
        <v>4</v>
      </c>
      <c r="I58" s="45">
        <f t="shared" si="10"/>
        <v>0.18181818181818182</v>
      </c>
      <c r="J58" s="7"/>
      <c r="K58" s="7"/>
      <c r="L58" s="7"/>
      <c r="M58" s="2"/>
      <c r="U58" s="161"/>
      <c r="W58" s="95" t="s">
        <v>100</v>
      </c>
      <c r="X58" s="96" t="s">
        <v>113</v>
      </c>
      <c r="Y58" s="96">
        <v>1736.5</v>
      </c>
      <c r="Z58" s="224"/>
      <c r="AA58" s="224"/>
      <c r="AC58" s="95" t="s">
        <v>110</v>
      </c>
      <c r="AD58" s="96" t="s">
        <v>113</v>
      </c>
      <c r="AE58" s="96"/>
    </row>
    <row r="59" spans="2:31" ht="12.75">
      <c r="B59" s="183">
        <f>'[1]POOL-joueus'!$B$366</f>
        <v>35.99452054794521</v>
      </c>
      <c r="C59" s="183" t="str">
        <f>'[1]POOL-joueus'!$C$366</f>
        <v>Pit</v>
      </c>
      <c r="D59" s="184" t="str">
        <f>'[1]POOL-joueus'!$D$366</f>
        <v>Philippe Boucher</v>
      </c>
      <c r="E59" s="183">
        <v>28</v>
      </c>
      <c r="F59" s="183">
        <v>0</v>
      </c>
      <c r="G59" s="183">
        <v>5</v>
      </c>
      <c r="H59" s="187">
        <f t="shared" si="9"/>
        <v>5</v>
      </c>
      <c r="I59" s="188">
        <f t="shared" si="10"/>
        <v>0.17857142857142858</v>
      </c>
      <c r="J59" s="7"/>
      <c r="K59" s="7"/>
      <c r="L59" s="7"/>
      <c r="M59" s="2"/>
      <c r="U59" s="161"/>
      <c r="W59" s="95" t="s">
        <v>101</v>
      </c>
      <c r="X59" s="96" t="s">
        <v>106</v>
      </c>
      <c r="Y59" s="96" t="s">
        <v>134</v>
      </c>
      <c r="Z59" s="224"/>
      <c r="AA59" s="224"/>
      <c r="AC59" s="95" t="s">
        <v>111</v>
      </c>
      <c r="AD59" s="102" t="s">
        <v>133</v>
      </c>
      <c r="AE59" s="102"/>
    </row>
    <row r="60" spans="2:21" ht="15" customHeight="1">
      <c r="B60" s="180">
        <f>'[1]POOL-joueus'!$B$401</f>
        <v>22.17808219178082</v>
      </c>
      <c r="C60" s="180" t="str">
        <f>'[1]POOL-joueus'!$C$401</f>
        <v>Nyr</v>
      </c>
      <c r="D60" s="181" t="str">
        <f>'[1]POOL-joueus'!$D$401</f>
        <v>Marc Stall</v>
      </c>
      <c r="E60" s="180">
        <v>17</v>
      </c>
      <c r="F60" s="180">
        <v>0</v>
      </c>
      <c r="G60" s="180">
        <v>4</v>
      </c>
      <c r="H60" s="187">
        <f t="shared" si="9"/>
        <v>4</v>
      </c>
      <c r="I60" s="188">
        <f t="shared" si="10"/>
        <v>0.23529411764705882</v>
      </c>
      <c r="J60" s="7"/>
      <c r="K60" s="7"/>
      <c r="L60" s="7"/>
      <c r="M60" s="2"/>
      <c r="U60" s="161"/>
    </row>
    <row r="61" spans="2:21" ht="15" customHeight="1" thickBot="1">
      <c r="B61" s="107"/>
      <c r="C61" s="107"/>
      <c r="D61" s="124"/>
      <c r="E61" s="123"/>
      <c r="F61" s="123"/>
      <c r="G61" s="123"/>
      <c r="H61" s="37">
        <f t="shared" si="9"/>
        <v>0</v>
      </c>
      <c r="I61" s="46" t="e">
        <f t="shared" si="10"/>
        <v>#DIV/0!</v>
      </c>
      <c r="J61" s="7"/>
      <c r="K61" s="7"/>
      <c r="L61" s="7"/>
      <c r="M61" s="2"/>
      <c r="U61" s="162"/>
    </row>
    <row r="62" spans="2:21" ht="15" customHeight="1">
      <c r="B62" s="274" t="s">
        <v>26</v>
      </c>
      <c r="C62" s="275"/>
      <c r="D62" s="255"/>
      <c r="E62" s="14">
        <f>SUM(E52:E61)</f>
        <v>371</v>
      </c>
      <c r="F62" s="14">
        <f>SUM(F52:F61)</f>
        <v>49</v>
      </c>
      <c r="G62" s="14">
        <f>SUM(G52:G61)</f>
        <v>124</v>
      </c>
      <c r="H62" s="33">
        <f t="shared" si="9"/>
        <v>173</v>
      </c>
      <c r="I62" s="50">
        <f t="shared" si="10"/>
        <v>0.46630727762803237</v>
      </c>
      <c r="J62" s="7"/>
      <c r="K62" s="7"/>
      <c r="L62" s="7"/>
      <c r="M62" s="2"/>
      <c r="U62" s="162"/>
    </row>
    <row r="63" spans="2:21" ht="15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2"/>
      <c r="U63" s="161"/>
    </row>
    <row r="64" spans="2:21" ht="15" customHeight="1" thickBot="1">
      <c r="B64" s="256" t="s">
        <v>27</v>
      </c>
      <c r="C64" s="257"/>
      <c r="D64" s="257"/>
      <c r="E64" s="257"/>
      <c r="F64" s="257"/>
      <c r="G64" s="257"/>
      <c r="H64" s="257"/>
      <c r="I64" s="258"/>
      <c r="J64" s="7"/>
      <c r="K64" s="7"/>
      <c r="L64" s="7"/>
      <c r="M64" s="2"/>
      <c r="U64" s="161"/>
    </row>
    <row r="65" spans="1:21" ht="15" customHeight="1" thickBot="1">
      <c r="A65" s="30" t="s">
        <v>143</v>
      </c>
      <c r="B65" s="30" t="s">
        <v>15</v>
      </c>
      <c r="C65" s="30" t="s">
        <v>29</v>
      </c>
      <c r="D65" s="30" t="s">
        <v>17</v>
      </c>
      <c r="E65" s="31" t="s">
        <v>2</v>
      </c>
      <c r="F65" s="31" t="s">
        <v>21</v>
      </c>
      <c r="G65" s="31" t="s">
        <v>30</v>
      </c>
      <c r="H65" s="32" t="s">
        <v>6</v>
      </c>
      <c r="I65" s="31" t="s">
        <v>11</v>
      </c>
      <c r="J65" s="7"/>
      <c r="K65" s="7"/>
      <c r="L65" s="7"/>
      <c r="M65" s="2"/>
      <c r="U65" s="161"/>
    </row>
    <row r="66" spans="1:21" ht="13.5" thickTop="1">
      <c r="A66" s="108" t="s">
        <v>144</v>
      </c>
      <c r="B66" s="108">
        <f>'[1]POOL-joueus'!$B$444</f>
        <v>19.59178082191781</v>
      </c>
      <c r="C66" s="108" t="str">
        <f>'[1]POOL-joueus'!$C$444</f>
        <v>Phx</v>
      </c>
      <c r="D66" s="110" t="str">
        <f>'[1]POOL-joueus'!$D$444</f>
        <v>Kyle Turris</v>
      </c>
      <c r="E66" s="108">
        <f>'[1]POOL-joueus'!$E$444</f>
        <v>52</v>
      </c>
      <c r="F66" s="108">
        <f>'[1]POOL-joueus'!$F$444</f>
        <v>6</v>
      </c>
      <c r="G66" s="108">
        <f>'[1]POOL-joueus'!$G$444</f>
        <v>10</v>
      </c>
      <c r="H66" s="44">
        <f>SUM(F66:G66)</f>
        <v>16</v>
      </c>
      <c r="I66" s="45">
        <f>H66/E66</f>
        <v>0.3076923076923077</v>
      </c>
      <c r="J66" s="7"/>
      <c r="K66" s="7"/>
      <c r="L66" s="7"/>
      <c r="M66" s="2"/>
      <c r="U66" s="161"/>
    </row>
    <row r="67" spans="1:21" ht="15.75" customHeight="1" thickBot="1">
      <c r="A67" s="108" t="s">
        <v>144</v>
      </c>
      <c r="B67" s="108">
        <f>'[1]POOL-joueus'!$B$554</f>
        <v>19.457534246575342</v>
      </c>
      <c r="C67" s="108" t="str">
        <f>'[1]POOL-joueus'!$C$554</f>
        <v>Nyi</v>
      </c>
      <c r="D67" s="110" t="str">
        <f>'[1]POOL-joueus'!$D$554</f>
        <v>Josh Bailey</v>
      </c>
      <c r="E67" s="113">
        <f>'[1]POOL-joueus'!$E$554</f>
        <v>54</v>
      </c>
      <c r="F67" s="113">
        <f>'[1]POOL-joueus'!$F$554</f>
        <v>3</v>
      </c>
      <c r="G67" s="113">
        <f>'[1]POOL-joueus'!$G$554</f>
        <v>17</v>
      </c>
      <c r="H67" s="37">
        <f>SUM(F67:G67)</f>
        <v>20</v>
      </c>
      <c r="I67" s="46">
        <f>H67/E67</f>
        <v>0.37037037037037035</v>
      </c>
      <c r="J67" s="7"/>
      <c r="K67" s="7"/>
      <c r="L67" s="7"/>
      <c r="M67" s="2"/>
      <c r="U67" s="161"/>
    </row>
    <row r="68" spans="2:21" ht="15" customHeight="1">
      <c r="B68" s="274" t="s">
        <v>26</v>
      </c>
      <c r="C68" s="275"/>
      <c r="D68" s="255"/>
      <c r="E68" s="14">
        <f>SUM(E66:E67)</f>
        <v>106</v>
      </c>
      <c r="F68" s="14">
        <f>SUM(F66:F67)</f>
        <v>9</v>
      </c>
      <c r="G68" s="14">
        <f>SUM(G66:G67)</f>
        <v>27</v>
      </c>
      <c r="H68" s="33">
        <f>SUM(F68:G68)</f>
        <v>36</v>
      </c>
      <c r="I68" s="50">
        <f>H68/E68</f>
        <v>0.33962264150943394</v>
      </c>
      <c r="J68" s="7"/>
      <c r="K68" s="7"/>
      <c r="L68" s="7"/>
      <c r="M68" s="2"/>
      <c r="U68" s="161"/>
    </row>
    <row r="69" spans="2:21" ht="15" customHeight="1" thickBot="1">
      <c r="B69" s="51"/>
      <c r="C69" s="51"/>
      <c r="D69" s="51"/>
      <c r="E69" s="51"/>
      <c r="F69" s="51"/>
      <c r="G69" s="51"/>
      <c r="H69" s="51"/>
      <c r="I69" s="51"/>
      <c r="J69" s="52"/>
      <c r="K69" s="52"/>
      <c r="L69" s="52"/>
      <c r="M69" s="2"/>
      <c r="U69" s="161"/>
    </row>
    <row r="70" spans="2:21" ht="15" customHeight="1">
      <c r="B70" s="280" t="s">
        <v>63</v>
      </c>
      <c r="C70" s="280"/>
      <c r="D70" s="280"/>
      <c r="E70" s="280"/>
      <c r="F70" s="280"/>
      <c r="G70" s="280"/>
      <c r="H70" s="280"/>
      <c r="I70" s="280"/>
      <c r="J70" s="280"/>
      <c r="K70" s="280"/>
      <c r="L70" s="7"/>
      <c r="M70" s="2"/>
      <c r="U70" s="161"/>
    </row>
    <row r="71" spans="2:21" ht="15" customHeight="1">
      <c r="B71" s="53"/>
      <c r="C71" s="53"/>
      <c r="D71" s="53"/>
      <c r="E71" s="53"/>
      <c r="F71" s="53"/>
      <c r="G71" s="53"/>
      <c r="H71" s="53"/>
      <c r="I71" s="53"/>
      <c r="J71" s="7"/>
      <c r="K71" s="7"/>
      <c r="L71" s="7"/>
      <c r="M71" s="2"/>
      <c r="U71" s="161"/>
    </row>
    <row r="72" spans="2:21" ht="15" customHeight="1" thickBot="1">
      <c r="B72" s="53"/>
      <c r="C72" s="248" t="s">
        <v>1</v>
      </c>
      <c r="D72" s="249"/>
      <c r="E72" s="54" t="s">
        <v>2</v>
      </c>
      <c r="F72" s="54" t="s">
        <v>3</v>
      </c>
      <c r="G72" s="54" t="s">
        <v>4</v>
      </c>
      <c r="H72" s="54" t="s">
        <v>5</v>
      </c>
      <c r="I72" s="54" t="s">
        <v>6</v>
      </c>
      <c r="J72" s="53"/>
      <c r="K72" s="53"/>
      <c r="L72" s="7"/>
      <c r="M72" s="2"/>
      <c r="U72" s="161"/>
    </row>
    <row r="73" spans="2:21" ht="15" customHeight="1" thickBot="1" thickTop="1">
      <c r="B73" s="53"/>
      <c r="C73" s="276" t="str">
        <f>'[1]Equipes-Pool'!$B$18</f>
        <v>Wild du Minnesota</v>
      </c>
      <c r="D73" s="277"/>
      <c r="E73" s="55">
        <f>'[1]Equipes-Pool'!$C$18</f>
        <v>67</v>
      </c>
      <c r="F73" s="55">
        <f>'[1]Equipes-Pool'!$D$18</f>
        <v>70</v>
      </c>
      <c r="G73" s="55">
        <f>'[1]Equipes-Pool'!$E$18</f>
        <v>172</v>
      </c>
      <c r="H73" s="55">
        <f>'[1]Equipes-Pool'!$F$18</f>
        <v>164</v>
      </c>
      <c r="I73" s="12">
        <f>F73+(G73-H73)</f>
        <v>78</v>
      </c>
      <c r="J73" s="53"/>
      <c r="K73" s="53"/>
      <c r="L73" s="7"/>
      <c r="M73" s="2"/>
      <c r="U73" s="161"/>
    </row>
    <row r="74" spans="2:21" ht="12.75">
      <c r="B74" s="53"/>
      <c r="C74" s="278" t="s">
        <v>7</v>
      </c>
      <c r="D74" s="279"/>
      <c r="E74" s="22">
        <f>SUM(E73)</f>
        <v>67</v>
      </c>
      <c r="F74" s="22">
        <f>SUM(F73)</f>
        <v>70</v>
      </c>
      <c r="G74" s="22">
        <f>SUM(G73)</f>
        <v>172</v>
      </c>
      <c r="H74" s="22">
        <f>SUM(H73)</f>
        <v>164</v>
      </c>
      <c r="I74" s="56">
        <f>F74+(G74-H74)</f>
        <v>78</v>
      </c>
      <c r="J74" s="53"/>
      <c r="K74" s="53"/>
      <c r="L74" s="7"/>
      <c r="M74" s="2"/>
      <c r="U74" s="161"/>
    </row>
    <row r="75" spans="10:21" ht="15" customHeight="1">
      <c r="J75" s="57"/>
      <c r="K75" s="57"/>
      <c r="M75" s="2"/>
      <c r="U75" s="161"/>
    </row>
    <row r="76" spans="2:21" ht="15" customHeight="1">
      <c r="B76" s="251" t="s">
        <v>13</v>
      </c>
      <c r="C76" s="252"/>
      <c r="D76" s="252"/>
      <c r="E76" s="252"/>
      <c r="F76" s="252"/>
      <c r="G76" s="252"/>
      <c r="H76" s="252"/>
      <c r="I76" s="252"/>
      <c r="J76" s="252"/>
      <c r="K76" s="253"/>
      <c r="M76" s="2"/>
      <c r="U76" s="161"/>
    </row>
    <row r="77" spans="2:21" ht="15" customHeight="1" thickBot="1">
      <c r="B77" s="54" t="s">
        <v>15</v>
      </c>
      <c r="C77" s="54" t="s">
        <v>16</v>
      </c>
      <c r="D77" s="54" t="s">
        <v>17</v>
      </c>
      <c r="E77" s="54" t="s">
        <v>2</v>
      </c>
      <c r="F77" s="54" t="s">
        <v>18</v>
      </c>
      <c r="G77" s="54" t="s">
        <v>19</v>
      </c>
      <c r="H77" s="54" t="s">
        <v>20</v>
      </c>
      <c r="I77" s="54" t="s">
        <v>21</v>
      </c>
      <c r="J77" s="54" t="s">
        <v>22</v>
      </c>
      <c r="K77" s="54" t="s">
        <v>6</v>
      </c>
      <c r="M77" s="2"/>
      <c r="U77" s="161"/>
    </row>
    <row r="78" spans="2:21" ht="15" customHeight="1" thickTop="1">
      <c r="B78" s="216">
        <f>'[1]Pool-gardien'!$B$31</f>
        <v>36.18630136986302</v>
      </c>
      <c r="C78" s="216" t="str">
        <f>'[1]Pool-gardien'!$C$31</f>
        <v>Chi</v>
      </c>
      <c r="D78" s="234" t="str">
        <f>'[1]Pool-gardien'!$D$31</f>
        <v>Nikolai Khabibulin</v>
      </c>
      <c r="E78" s="216">
        <v>25</v>
      </c>
      <c r="F78" s="216">
        <v>14</v>
      </c>
      <c r="G78" s="216">
        <v>5</v>
      </c>
      <c r="H78" s="216">
        <v>1</v>
      </c>
      <c r="I78" s="216">
        <v>0</v>
      </c>
      <c r="J78" s="216">
        <v>1</v>
      </c>
      <c r="K78" s="191">
        <f>(F78*2)+G78+(H78*4)+(I78*10)+J78</f>
        <v>38</v>
      </c>
      <c r="M78" s="2"/>
      <c r="U78" s="162"/>
    </row>
    <row r="79" spans="2:21" ht="15" customHeight="1">
      <c r="B79" s="189">
        <f>'[1]Pool-gardien'!$B$45</f>
        <v>28.545205479452054</v>
      </c>
      <c r="C79" s="189" t="str">
        <f>'[1]Pool-gardien'!$C$45</f>
        <v>Edm</v>
      </c>
      <c r="D79" s="190" t="str">
        <f>'[1]Pool-gardien'!$D$45</f>
        <v>Dany Sabourin</v>
      </c>
      <c r="E79" s="189">
        <v>7</v>
      </c>
      <c r="F79" s="189">
        <v>1</v>
      </c>
      <c r="G79" s="189">
        <v>1</v>
      </c>
      <c r="H79" s="189">
        <v>0</v>
      </c>
      <c r="I79" s="189">
        <v>0</v>
      </c>
      <c r="J79" s="189">
        <v>0</v>
      </c>
      <c r="K79" s="201">
        <f>(F79*2)+G79+(H79*4)+(I79*10)+J79</f>
        <v>3</v>
      </c>
      <c r="M79" s="2"/>
      <c r="U79" s="163"/>
    </row>
    <row r="80" spans="2:21" ht="12.75">
      <c r="B80" s="106">
        <f>'[1]Pool-gardien'!$B$11</f>
        <v>28.673972602739727</v>
      </c>
      <c r="C80" s="106" t="str">
        <f>'[1]Pool-gardien'!$C$11</f>
        <v>Buf</v>
      </c>
      <c r="D80" s="126" t="str">
        <f>'[1]Pool-gardien'!$D$11</f>
        <v>Ryan Miller</v>
      </c>
      <c r="E80" s="106">
        <f>('[1]Pool-gardien'!$E$11)-51</f>
        <v>0</v>
      </c>
      <c r="F80" s="106">
        <f>('[1]Pool-gardien'!$F$11)-29</f>
        <v>0</v>
      </c>
      <c r="G80" s="106">
        <f>('[1]Pool-gardien'!$G$11)-5</f>
        <v>0</v>
      </c>
      <c r="H80" s="106">
        <f>('[1]Pool-gardien'!$H$11)-5</f>
        <v>0</v>
      </c>
      <c r="I80" s="106">
        <f>('[1]Pool-gardien'!$I$11)-0</f>
        <v>0</v>
      </c>
      <c r="J80" s="106">
        <f>('[1]Pool-gardien'!$J$11)-0</f>
        <v>0</v>
      </c>
      <c r="K80" s="14">
        <f>(F80*2)+G80+(H80*4)+(I80*10)+J80</f>
        <v>0</v>
      </c>
      <c r="L80" s="1" t="s">
        <v>234</v>
      </c>
      <c r="M80" s="2"/>
      <c r="U80" s="161"/>
    </row>
    <row r="81" spans="2:21" ht="15" customHeight="1" thickBot="1">
      <c r="B81" s="106">
        <f>'[1]Pool-gardien'!$B$53</f>
        <v>34.706849315068496</v>
      </c>
      <c r="C81" s="106" t="str">
        <f>'[1]Pool-gardien'!$C$53</f>
        <v>Buf</v>
      </c>
      <c r="D81" s="126" t="str">
        <f>'[1]Pool-gardien'!$D$53</f>
        <v>Patrick Lalime </v>
      </c>
      <c r="E81" s="123">
        <f>(('[1]Pool-gardien'!$E$53)-17)-3</f>
        <v>1</v>
      </c>
      <c r="F81" s="123">
        <f>(('[1]Pool-gardien'!$F$53)-3)-1</f>
        <v>1</v>
      </c>
      <c r="G81" s="123">
        <f>(('[1]Pool-gardien'!$G$53)-2)-0</f>
        <v>0</v>
      </c>
      <c r="H81" s="123">
        <f>(('[1]Pool-gardien'!$H$53)-0)-0</f>
        <v>0</v>
      </c>
      <c r="I81" s="123">
        <f>(('[1]Pool-gardien'!$I$53)-0)-0</f>
        <v>0</v>
      </c>
      <c r="J81" s="123">
        <f>('[1]Pool-gardien'!$J$53)-0</f>
        <v>0</v>
      </c>
      <c r="K81" s="36">
        <f>(F81*2)+G81+(H81*4)+(I81*10)+J81</f>
        <v>2</v>
      </c>
      <c r="M81" s="2"/>
      <c r="U81" s="161"/>
    </row>
    <row r="82" spans="2:21" ht="15" customHeight="1">
      <c r="B82" s="278" t="s">
        <v>7</v>
      </c>
      <c r="C82" s="281"/>
      <c r="D82" s="279"/>
      <c r="E82" s="22">
        <f aca="true" t="shared" si="11" ref="E82:J82">SUM(E78:E81)</f>
        <v>33</v>
      </c>
      <c r="F82" s="22">
        <f t="shared" si="11"/>
        <v>16</v>
      </c>
      <c r="G82" s="22">
        <f t="shared" si="11"/>
        <v>6</v>
      </c>
      <c r="H82" s="22">
        <f t="shared" si="11"/>
        <v>1</v>
      </c>
      <c r="I82" s="22">
        <f t="shared" si="11"/>
        <v>0</v>
      </c>
      <c r="J82" s="22">
        <f t="shared" si="11"/>
        <v>1</v>
      </c>
      <c r="K82" s="14">
        <f>(F82*2)+G82+(H82*4)+(I82*10)+J82</f>
        <v>43</v>
      </c>
      <c r="M82" s="2"/>
      <c r="T82" s="128"/>
      <c r="U82" s="161"/>
    </row>
    <row r="83" spans="13:21" ht="15" customHeight="1">
      <c r="M83" s="2"/>
      <c r="U83" s="161"/>
    </row>
    <row r="84" spans="2:21" ht="15" customHeight="1">
      <c r="B84" s="251" t="s">
        <v>23</v>
      </c>
      <c r="C84" s="252"/>
      <c r="D84" s="252"/>
      <c r="E84" s="252"/>
      <c r="F84" s="252"/>
      <c r="G84" s="252"/>
      <c r="H84" s="252"/>
      <c r="I84" s="253"/>
      <c r="M84" s="2"/>
      <c r="U84" s="161"/>
    </row>
    <row r="85" spans="2:21" ht="15" customHeight="1" thickBot="1">
      <c r="B85" s="54" t="s">
        <v>15</v>
      </c>
      <c r="C85" s="54" t="s">
        <v>29</v>
      </c>
      <c r="D85" s="54" t="s">
        <v>17</v>
      </c>
      <c r="E85" s="54" t="s">
        <v>2</v>
      </c>
      <c r="F85" s="54" t="s">
        <v>21</v>
      </c>
      <c r="G85" s="54" t="s">
        <v>30</v>
      </c>
      <c r="H85" s="54" t="s">
        <v>6</v>
      </c>
      <c r="I85" s="54" t="s">
        <v>11</v>
      </c>
      <c r="M85" s="2"/>
      <c r="U85" s="161"/>
    </row>
    <row r="86" spans="2:21" ht="13.5" thickTop="1">
      <c r="B86" s="108">
        <f>'[1]POOL-joueus'!$B$421</f>
        <v>23.528767123287672</v>
      </c>
      <c r="C86" s="108" t="str">
        <f>'[1]POOL-joueus'!$C$421</f>
        <v>Wsh</v>
      </c>
      <c r="D86" s="110" t="str">
        <f>'[1]POOL-joueus'!$D$421</f>
        <v>Eric Fehr</v>
      </c>
      <c r="E86" s="108">
        <f>'[1]POOL-joueus'!$E$421</f>
        <v>47</v>
      </c>
      <c r="F86" s="108">
        <f>'[1]POOL-joueus'!$F$421</f>
        <v>10</v>
      </c>
      <c r="G86" s="108">
        <f>'[1]POOL-joueus'!$G$421</f>
        <v>11</v>
      </c>
      <c r="H86" s="22">
        <f>SUM(F86:G86)</f>
        <v>21</v>
      </c>
      <c r="I86" s="23">
        <f>H86/E86</f>
        <v>0.44680851063829785</v>
      </c>
      <c r="M86" s="2"/>
      <c r="U86" s="161"/>
    </row>
    <row r="87" spans="2:21" ht="15" customHeight="1">
      <c r="B87" s="109">
        <f>'[1]POOL-joueus'!$B$136</f>
        <v>30.254794520547946</v>
      </c>
      <c r="C87" s="109" t="str">
        <f>'[1]POOL-joueus'!$C$136</f>
        <v>Det</v>
      </c>
      <c r="D87" s="111" t="str">
        <f>'[1]POOL-joueus'!$D$136</f>
        <v>Daniel Cleary</v>
      </c>
      <c r="E87" s="109">
        <f>('[1]POOL-joueus'!$E$136)-5</f>
        <v>55</v>
      </c>
      <c r="F87" s="109">
        <f>('[1]POOL-joueus'!$F$136)</f>
        <v>13</v>
      </c>
      <c r="G87" s="109">
        <f>('[1]POOL-joueus'!$G$136)-2</f>
        <v>21</v>
      </c>
      <c r="H87" s="22">
        <f>SUM(F87:G87)</f>
        <v>34</v>
      </c>
      <c r="I87" s="23">
        <f>H87/E87</f>
        <v>0.6181818181818182</v>
      </c>
      <c r="M87" s="2"/>
      <c r="U87" s="161"/>
    </row>
    <row r="88" spans="2:21" ht="15" customHeight="1">
      <c r="B88" s="183">
        <f>'[1]POOL-joueus'!$B$129</f>
        <v>38.367123287671234</v>
      </c>
      <c r="C88" s="183" t="str">
        <f>'[1]POOL-joueus'!$C$129</f>
        <v>Pit</v>
      </c>
      <c r="D88" s="184" t="str">
        <f>'[1]POOL-joueus'!$D$129</f>
        <v>Bill Guerin</v>
      </c>
      <c r="E88" s="183">
        <v>30</v>
      </c>
      <c r="F88" s="183">
        <v>10</v>
      </c>
      <c r="G88" s="183">
        <v>9</v>
      </c>
      <c r="H88" s="139">
        <f>SUM(F88:G88)</f>
        <v>19</v>
      </c>
      <c r="I88" s="182">
        <f>H88/E88</f>
        <v>0.6333333333333333</v>
      </c>
      <c r="M88" s="2"/>
      <c r="U88" s="161"/>
    </row>
    <row r="89" spans="2:21" ht="15" customHeight="1">
      <c r="B89" s="185">
        <f>'[1]POOL-joueus'!$B$210</f>
        <v>28.942465753424656</v>
      </c>
      <c r="C89" s="185" t="str">
        <f>'[1]POOL-joueus'!$C$210</f>
        <v>NHL</v>
      </c>
      <c r="D89" s="186" t="str">
        <f>'[1]POOL-joueus'!$D$210</f>
        <v>Sean Avery</v>
      </c>
      <c r="E89" s="185">
        <v>23</v>
      </c>
      <c r="F89" s="185">
        <v>3</v>
      </c>
      <c r="G89" s="185">
        <v>7</v>
      </c>
      <c r="H89" s="140">
        <f aca="true" t="shared" si="12" ref="H89:H95">SUM(F89:G89)</f>
        <v>10</v>
      </c>
      <c r="I89" s="199">
        <f aca="true" t="shared" si="13" ref="I89:I95">H89/E89</f>
        <v>0.43478260869565216</v>
      </c>
      <c r="M89" s="2"/>
      <c r="U89" s="161"/>
    </row>
    <row r="90" spans="2:21" ht="15" customHeight="1">
      <c r="B90" s="185">
        <f>'[1]POOL-joueus'!$B$123</f>
        <v>40.16164383561644</v>
      </c>
      <c r="C90" s="185" t="str">
        <f>'[1]POOL-joueus'!$C$123</f>
        <v>N.J.</v>
      </c>
      <c r="D90" s="186" t="str">
        <f>'[1]POOL-joueus'!$D$123</f>
        <v>Brendan Shanahan</v>
      </c>
      <c r="E90" s="185">
        <v>1</v>
      </c>
      <c r="F90" s="185">
        <v>1</v>
      </c>
      <c r="G90" s="185">
        <v>0</v>
      </c>
      <c r="H90" s="140">
        <f>SUM(F90:G90)</f>
        <v>1</v>
      </c>
      <c r="I90" s="199">
        <f>H90/E90</f>
        <v>1</v>
      </c>
      <c r="M90" s="2"/>
      <c r="U90" s="161"/>
    </row>
    <row r="91" spans="2:21" ht="15" customHeight="1">
      <c r="B91" s="185">
        <f>'[1]POOL-joueus'!$B$44</f>
        <v>24.756164383561643</v>
      </c>
      <c r="C91" s="185" t="str">
        <f>'[1]POOL-joueus'!$C$44</f>
        <v>Cbj</v>
      </c>
      <c r="D91" s="186" t="str">
        <f>'[1]POOL-joueus'!$D$44</f>
        <v>Rick Nash</v>
      </c>
      <c r="E91" s="185">
        <v>1</v>
      </c>
      <c r="F91" s="185">
        <v>1</v>
      </c>
      <c r="G91" s="185">
        <v>2</v>
      </c>
      <c r="H91" s="140">
        <f t="shared" si="12"/>
        <v>3</v>
      </c>
      <c r="I91" s="199">
        <f t="shared" si="13"/>
        <v>3</v>
      </c>
      <c r="M91" s="2"/>
      <c r="U91" s="161"/>
    </row>
    <row r="92" spans="2:21" ht="15" customHeight="1">
      <c r="B92" s="107">
        <f>'[1]POOL-joueus'!$B$251</f>
        <v>29.542465753424658</v>
      </c>
      <c r="C92" s="107" t="str">
        <f>'[1]POOL-joueus'!$C$251</f>
        <v>Buf</v>
      </c>
      <c r="D92" s="124" t="str">
        <f>'[1]POOL-joueus'!$D$251</f>
        <v>Maxim Afinogenov</v>
      </c>
      <c r="E92" s="107">
        <f>('[1]POOL-joueus'!$E$251)-31</f>
        <v>6</v>
      </c>
      <c r="F92" s="107">
        <f>('[1]POOL-joueus'!$F$251)-1</f>
        <v>2</v>
      </c>
      <c r="G92" s="107">
        <f>('[1]POOL-joueus'!$G$251)-10</f>
        <v>2</v>
      </c>
      <c r="H92" s="28">
        <f t="shared" si="12"/>
        <v>4</v>
      </c>
      <c r="I92" s="29">
        <f t="shared" si="13"/>
        <v>0.6666666666666666</v>
      </c>
      <c r="J92" s="1" t="s">
        <v>234</v>
      </c>
      <c r="M92" s="2"/>
      <c r="U92" s="161"/>
    </row>
    <row r="93" spans="2:21" ht="15" customHeight="1">
      <c r="B93" s="107">
        <f>'[1]POOL-joueus'!$B$115</f>
        <v>41.13972602739726</v>
      </c>
      <c r="C93" s="107" t="str">
        <f>'[1]POOL-joueus'!$C$115</f>
        <v>Bos</v>
      </c>
      <c r="D93" s="124" t="str">
        <f>'[1]POOL-joueus'!$D$115</f>
        <v>Mark Recchi</v>
      </c>
      <c r="E93" s="107">
        <f>('[1]POOL-joueus'!$E$115)-6</f>
        <v>61</v>
      </c>
      <c r="F93" s="107">
        <f>('[1]POOL-joueus'!$F$115)-1</f>
        <v>14</v>
      </c>
      <c r="G93" s="107">
        <f>('[1]POOL-joueus'!$G$115)-4</f>
        <v>28</v>
      </c>
      <c r="H93" s="28">
        <f t="shared" si="12"/>
        <v>42</v>
      </c>
      <c r="I93" s="29">
        <f t="shared" si="13"/>
        <v>0.6885245901639344</v>
      </c>
      <c r="M93" s="2"/>
      <c r="U93" s="161"/>
    </row>
    <row r="94" spans="2:21" ht="15" customHeight="1">
      <c r="B94" s="107">
        <f>'[1]POOL-joueus'!$B$17</f>
        <v>27.09315068493151</v>
      </c>
      <c r="C94" s="107" t="str">
        <f>'[1]POOL-joueus'!$C$17</f>
        <v>Min</v>
      </c>
      <c r="D94" s="124" t="str">
        <f>'[1]POOL-joueus'!$D$17</f>
        <v>Marian Gaborik</v>
      </c>
      <c r="E94" s="107">
        <f>('[1]POOL-joueus'!$E$17)-5</f>
        <v>1</v>
      </c>
      <c r="F94" s="107">
        <f>('[1]POOL-joueus'!$F$17)-2</f>
        <v>1</v>
      </c>
      <c r="G94" s="107">
        <f>('[1]POOL-joueus'!$G$17)-1</f>
        <v>1</v>
      </c>
      <c r="H94" s="28">
        <f t="shared" si="12"/>
        <v>2</v>
      </c>
      <c r="I94" s="29">
        <f t="shared" si="13"/>
        <v>2</v>
      </c>
      <c r="J94" s="1" t="s">
        <v>234</v>
      </c>
      <c r="M94" s="2"/>
      <c r="U94" s="161"/>
    </row>
    <row r="95" spans="2:21" ht="15" customHeight="1">
      <c r="B95" s="107">
        <f>'[1]POOL-joueus'!$B$328</f>
        <v>22.676712328767124</v>
      </c>
      <c r="C95" s="107" t="str">
        <f>'[1]POOL-joueus'!$C$328</f>
        <v>Pit</v>
      </c>
      <c r="D95" s="124" t="str">
        <f>'[1]POOL-joueus'!$D$328</f>
        <v>Tyler Kennedy</v>
      </c>
      <c r="E95" s="107">
        <f>('[1]POOL-joueus'!$E$328)-31</f>
        <v>23</v>
      </c>
      <c r="F95" s="107">
        <f>('[1]POOL-joueus'!$F$328)-7</f>
        <v>4</v>
      </c>
      <c r="G95" s="107">
        <f>('[1]POOL-joueus'!$G$328)-11</f>
        <v>3</v>
      </c>
      <c r="H95" s="28">
        <f t="shared" si="12"/>
        <v>7</v>
      </c>
      <c r="I95" s="29">
        <f t="shared" si="13"/>
        <v>0.30434782608695654</v>
      </c>
      <c r="M95" s="2"/>
      <c r="U95" s="161"/>
    </row>
    <row r="96" spans="2:21" ht="15" customHeight="1" thickBot="1">
      <c r="B96" s="185">
        <f>'[1]POOL-joueus'!$B$163</f>
        <v>29.24109589041096</v>
      </c>
      <c r="C96" s="185" t="str">
        <f>'[1]POOL-joueus'!$C$163</f>
        <v>Det</v>
      </c>
      <c r="D96" s="186" t="str">
        <f>'[1]POOL-joueus'!$D$163</f>
        <v>Johan Franzen</v>
      </c>
      <c r="E96" s="204">
        <v>6</v>
      </c>
      <c r="F96" s="204">
        <v>3</v>
      </c>
      <c r="G96" s="204">
        <v>2</v>
      </c>
      <c r="H96" s="228">
        <f>SUM(F96:G96)</f>
        <v>5</v>
      </c>
      <c r="I96" s="212">
        <f>H96/E96</f>
        <v>0.8333333333333334</v>
      </c>
      <c r="M96" s="2"/>
      <c r="U96" s="161"/>
    </row>
    <row r="97" spans="2:21" ht="15" customHeight="1">
      <c r="B97" s="278" t="s">
        <v>7</v>
      </c>
      <c r="C97" s="281"/>
      <c r="D97" s="279"/>
      <c r="E97" s="22">
        <f>SUM(E86:E96)</f>
        <v>254</v>
      </c>
      <c r="F97" s="22">
        <f>SUM(F86:F96)</f>
        <v>62</v>
      </c>
      <c r="G97" s="22">
        <f>SUM(G86:G96)</f>
        <v>86</v>
      </c>
      <c r="H97" s="22">
        <f>SUM(F97:G97)</f>
        <v>148</v>
      </c>
      <c r="I97" s="23">
        <f>H97/E97</f>
        <v>0.5826771653543307</v>
      </c>
      <c r="M97" s="2"/>
      <c r="U97" s="161"/>
    </row>
    <row r="98" spans="13:21" ht="15" customHeight="1">
      <c r="M98" s="2"/>
      <c r="U98" s="161"/>
    </row>
    <row r="99" spans="2:21" ht="15" customHeight="1">
      <c r="B99" s="251" t="s">
        <v>24</v>
      </c>
      <c r="C99" s="252"/>
      <c r="D99" s="252"/>
      <c r="E99" s="252"/>
      <c r="F99" s="252"/>
      <c r="G99" s="252"/>
      <c r="H99" s="252"/>
      <c r="I99" s="253"/>
      <c r="M99" s="2"/>
      <c r="U99" s="161"/>
    </row>
    <row r="100" spans="2:21" ht="15" customHeight="1" thickBot="1">
      <c r="B100" s="54" t="s">
        <v>15</v>
      </c>
      <c r="C100" s="54" t="s">
        <v>29</v>
      </c>
      <c r="D100" s="54" t="s">
        <v>17</v>
      </c>
      <c r="E100" s="54" t="s">
        <v>2</v>
      </c>
      <c r="F100" s="54" t="s">
        <v>21</v>
      </c>
      <c r="G100" s="54" t="s">
        <v>30</v>
      </c>
      <c r="H100" s="54" t="s">
        <v>6</v>
      </c>
      <c r="I100" s="54" t="s">
        <v>11</v>
      </c>
      <c r="M100" s="2"/>
      <c r="U100" s="161"/>
    </row>
    <row r="101" spans="2:21" ht="15" customHeight="1" thickTop="1">
      <c r="B101" s="108">
        <f>'[1]POOL-joueus'!$B$186</f>
        <v>24.997260273972604</v>
      </c>
      <c r="C101" s="108" t="str">
        <f>'[1]POOL-joueus'!$C$186</f>
        <v>Det</v>
      </c>
      <c r="D101" s="110" t="str">
        <f>'[1]POOL-joueus'!$D$186</f>
        <v>Valtteri Filppula</v>
      </c>
      <c r="E101" s="108">
        <f>('[1]POOL-joueus'!$E$186)-26</f>
        <v>42</v>
      </c>
      <c r="F101" s="108">
        <f>('[1]POOL-joueus'!$F$186)-3</f>
        <v>7</v>
      </c>
      <c r="G101" s="108">
        <f>('[1]POOL-joueus'!$G$186)-9</f>
        <v>17</v>
      </c>
      <c r="H101" s="22">
        <f aca="true" t="shared" si="14" ref="H101:H107">SUM(F101:G101)</f>
        <v>24</v>
      </c>
      <c r="I101" s="23">
        <f aca="true" t="shared" si="15" ref="I101:I107">H101/E101</f>
        <v>0.5714285714285714</v>
      </c>
      <c r="M101" s="2"/>
      <c r="U101" s="161"/>
    </row>
    <row r="102" spans="2:21" ht="15" customHeight="1">
      <c r="B102" s="109">
        <f>'[1]POOL-joueus'!$B$278</f>
        <v>33.6</v>
      </c>
      <c r="C102" s="109" t="str">
        <f>'[1]POOL-joueus'!$C$278</f>
        <v>Dal</v>
      </c>
      <c r="D102" s="111" t="str">
        <f>'[1]POOL-joueus'!$D$278</f>
        <v>Brendan Morrison</v>
      </c>
      <c r="E102" s="109">
        <f>('[1]POOL-joueus'!$E$278)-3</f>
        <v>64</v>
      </c>
      <c r="F102" s="109">
        <f>('[1]POOL-joueus'!$F$278)</f>
        <v>11</v>
      </c>
      <c r="G102" s="109">
        <f>('[1]POOL-joueus'!$G$278)-1</f>
        <v>11</v>
      </c>
      <c r="H102" s="28">
        <f t="shared" si="14"/>
        <v>22</v>
      </c>
      <c r="I102" s="29">
        <f t="shared" si="15"/>
        <v>0.34375</v>
      </c>
      <c r="M102" s="2"/>
      <c r="U102" s="161"/>
    </row>
    <row r="103" spans="2:21" ht="15" customHeight="1">
      <c r="B103" s="180">
        <f>'[1]POOL-joueus'!$B$68</f>
        <v>36.07945205479452</v>
      </c>
      <c r="C103" s="180" t="str">
        <f>'[1]POOL-joueus'!$C$68</f>
        <v>N.J.</v>
      </c>
      <c r="D103" s="181" t="str">
        <f>'[1]POOL-joueus'!$D$68</f>
        <v>Brian Rolston</v>
      </c>
      <c r="E103" s="180">
        <v>1</v>
      </c>
      <c r="F103" s="180">
        <v>0</v>
      </c>
      <c r="G103" s="180">
        <v>0</v>
      </c>
      <c r="H103" s="139">
        <f t="shared" si="14"/>
        <v>0</v>
      </c>
      <c r="I103" s="182">
        <f t="shared" si="15"/>
        <v>0</v>
      </c>
      <c r="M103" s="2"/>
      <c r="U103" s="161"/>
    </row>
    <row r="104" spans="2:21" ht="15" customHeight="1">
      <c r="B104" s="109">
        <f>'[1]POOL-joueus'!$B$781</f>
        <v>20.895890410958906</v>
      </c>
      <c r="C104" s="109" t="str">
        <f>'[1]POOL-joueus'!$C$781</f>
        <v>Min</v>
      </c>
      <c r="D104" s="111" t="str">
        <f>'[1]POOL-joueus'!$D$781</f>
        <v>James Sheppard</v>
      </c>
      <c r="E104" s="109">
        <f>'[1]POOL-joueus'!$E$781</f>
        <v>67</v>
      </c>
      <c r="F104" s="109">
        <f>'[1]POOL-joueus'!$F$781</f>
        <v>4</v>
      </c>
      <c r="G104" s="109">
        <f>'[1]POOL-joueus'!$G$781</f>
        <v>12</v>
      </c>
      <c r="H104" s="22">
        <f>SUM(F104:G104)</f>
        <v>16</v>
      </c>
      <c r="I104" s="23">
        <f>H104/E104</f>
        <v>0.23880597014925373</v>
      </c>
      <c r="M104" s="2"/>
      <c r="U104" s="161"/>
    </row>
    <row r="105" spans="2:21" ht="15" customHeight="1">
      <c r="B105" s="109"/>
      <c r="C105" s="109"/>
      <c r="D105" s="111"/>
      <c r="E105" s="109"/>
      <c r="F105" s="109"/>
      <c r="G105" s="109"/>
      <c r="H105" s="22">
        <f t="shared" si="14"/>
        <v>0</v>
      </c>
      <c r="I105" s="23" t="e">
        <f t="shared" si="15"/>
        <v>#DIV/0!</v>
      </c>
      <c r="M105" s="2"/>
      <c r="N105" s="81"/>
      <c r="O105" s="81"/>
      <c r="P105" s="81"/>
      <c r="Q105" s="81"/>
      <c r="R105" s="81"/>
      <c r="S105" s="81"/>
      <c r="U105" s="161"/>
    </row>
    <row r="106" spans="2:21" ht="15" customHeight="1" thickBot="1">
      <c r="B106" s="109"/>
      <c r="C106" s="109"/>
      <c r="D106" s="111"/>
      <c r="E106" s="113"/>
      <c r="F106" s="113"/>
      <c r="G106" s="113"/>
      <c r="H106" s="40">
        <f t="shared" si="14"/>
        <v>0</v>
      </c>
      <c r="I106" s="41" t="e">
        <f t="shared" si="15"/>
        <v>#DIV/0!</v>
      </c>
      <c r="M106" s="2"/>
      <c r="U106" s="161"/>
    </row>
    <row r="107" spans="2:21" ht="15" customHeight="1" thickBot="1">
      <c r="B107" s="278" t="s">
        <v>7</v>
      </c>
      <c r="C107" s="281"/>
      <c r="D107" s="279"/>
      <c r="E107" s="22">
        <f>SUM(E101:E106)</f>
        <v>174</v>
      </c>
      <c r="F107" s="22">
        <f>SUM(F101:F106)</f>
        <v>22</v>
      </c>
      <c r="G107" s="22">
        <f>SUM(G101:G106)</f>
        <v>40</v>
      </c>
      <c r="H107" s="22">
        <f t="shared" si="14"/>
        <v>62</v>
      </c>
      <c r="I107" s="23">
        <f t="shared" si="15"/>
        <v>0.3563218390804598</v>
      </c>
      <c r="M107" s="2"/>
      <c r="N107" s="86" t="s">
        <v>82</v>
      </c>
      <c r="O107" s="86" t="s">
        <v>81</v>
      </c>
      <c r="U107" s="161"/>
    </row>
    <row r="108" spans="13:21" ht="15" customHeight="1">
      <c r="M108" s="2"/>
      <c r="N108" s="85" t="s">
        <v>71</v>
      </c>
      <c r="O108" s="87">
        <v>1</v>
      </c>
      <c r="U108" s="161"/>
    </row>
    <row r="109" spans="2:21" ht="15" customHeight="1" thickBot="1">
      <c r="B109" s="251" t="s">
        <v>25</v>
      </c>
      <c r="C109" s="252"/>
      <c r="D109" s="252"/>
      <c r="E109" s="252"/>
      <c r="F109" s="252"/>
      <c r="G109" s="252"/>
      <c r="H109" s="252"/>
      <c r="I109" s="253"/>
      <c r="M109" s="2"/>
      <c r="N109" s="83" t="s">
        <v>72</v>
      </c>
      <c r="O109" s="88">
        <v>4</v>
      </c>
      <c r="U109" s="161"/>
    </row>
    <row r="110" spans="2:21" ht="15" customHeight="1" thickBot="1" thickTop="1">
      <c r="B110" s="54" t="s">
        <v>15</v>
      </c>
      <c r="C110" s="54" t="s">
        <v>29</v>
      </c>
      <c r="D110" s="54" t="s">
        <v>17</v>
      </c>
      <c r="E110" s="54" t="s">
        <v>2</v>
      </c>
      <c r="F110" s="54" t="s">
        <v>21</v>
      </c>
      <c r="G110" s="54" t="s">
        <v>30</v>
      </c>
      <c r="H110" s="54" t="s">
        <v>6</v>
      </c>
      <c r="I110" s="54" t="s">
        <v>11</v>
      </c>
      <c r="M110" s="2"/>
      <c r="N110" s="91" t="s">
        <v>238</v>
      </c>
      <c r="O110" s="92">
        <f>SUM(O108:O109)</f>
        <v>5</v>
      </c>
      <c r="U110" s="161"/>
    </row>
    <row r="111" spans="2:21" ht="15" customHeight="1" thickTop="1">
      <c r="B111" s="107">
        <f>'[1]POOL-joueus'!$B$213</f>
        <v>20.991780821917807</v>
      </c>
      <c r="C111" s="107" t="str">
        <f>'[1]POOL-joueus'!$C$213</f>
        <v>Stl</v>
      </c>
      <c r="D111" s="124" t="str">
        <f>'[1]POOL-joueus'!$D$213</f>
        <v>Erik Johnson</v>
      </c>
      <c r="E111" s="107">
        <f>'[1]POOL-joueus'!$E$213</f>
        <v>0</v>
      </c>
      <c r="F111" s="107">
        <f>'[1]POOL-joueus'!$F$213</f>
        <v>0</v>
      </c>
      <c r="G111" s="107">
        <f>'[1]POOL-joueus'!$G$213</f>
        <v>0</v>
      </c>
      <c r="H111" s="22">
        <f aca="true" t="shared" si="16" ref="H111:H121">SUM(F111:G111)</f>
        <v>0</v>
      </c>
      <c r="I111" s="23" t="e">
        <f aca="true" t="shared" si="17" ref="I111:I121">H111/E111</f>
        <v>#DIV/0!</v>
      </c>
      <c r="J111" s="1" t="s">
        <v>234</v>
      </c>
      <c r="M111" s="2"/>
      <c r="N111" s="84"/>
      <c r="O111" s="89"/>
      <c r="U111" s="161"/>
    </row>
    <row r="112" spans="2:21" ht="15" customHeight="1">
      <c r="B112" s="108">
        <f>'[1]POOL-joueus'!$B$401</f>
        <v>22.17808219178082</v>
      </c>
      <c r="C112" s="108" t="str">
        <f>'[1]POOL-joueus'!$C$401</f>
        <v>Nyr</v>
      </c>
      <c r="D112" s="110" t="str">
        <f>'[1]POOL-joueus'!$D$401</f>
        <v>Marc Stall</v>
      </c>
      <c r="E112" s="108">
        <f>('[1]POOL-joueus'!$E$401)-17</f>
        <v>51</v>
      </c>
      <c r="F112" s="108">
        <f>('[1]POOL-joueus'!$F$401)</f>
        <v>3</v>
      </c>
      <c r="G112" s="108">
        <f>('[1]POOL-joueus'!$G$401)-4</f>
        <v>6</v>
      </c>
      <c r="H112" s="22">
        <f t="shared" si="16"/>
        <v>9</v>
      </c>
      <c r="I112" s="23">
        <f t="shared" si="17"/>
        <v>0.17647058823529413</v>
      </c>
      <c r="M112" s="2"/>
      <c r="N112" s="83" t="s">
        <v>73</v>
      </c>
      <c r="O112" s="90"/>
      <c r="U112" s="161"/>
    </row>
    <row r="113" spans="2:21" ht="15" customHeight="1">
      <c r="B113" s="185">
        <f>'[1]POOL-joueus'!$B$382</f>
        <v>27.75890410958904</v>
      </c>
      <c r="C113" s="185" t="str">
        <f>'[1]POOL-joueus'!$C$382</f>
        <v>Van</v>
      </c>
      <c r="D113" s="186" t="str">
        <f>'[1]POOL-joueus'!$D$382</f>
        <v>Kevin Bieksa</v>
      </c>
      <c r="E113" s="185">
        <v>2</v>
      </c>
      <c r="F113" s="185">
        <v>0</v>
      </c>
      <c r="G113" s="185">
        <v>0</v>
      </c>
      <c r="H113" s="180">
        <f>SUM(F113:G113)</f>
        <v>0</v>
      </c>
      <c r="I113" s="182">
        <f>H113/E113</f>
        <v>0</v>
      </c>
      <c r="M113" s="2"/>
      <c r="N113" s="83" t="s">
        <v>74</v>
      </c>
      <c r="O113" s="90">
        <v>43</v>
      </c>
      <c r="U113" s="161"/>
    </row>
    <row r="114" spans="2:21" ht="15" customHeight="1">
      <c r="B114" s="107">
        <f>'[1]POOL-joueus'!$B$367</f>
        <v>31.931506849315067</v>
      </c>
      <c r="C114" s="107" t="str">
        <f>'[1]POOL-joueus'!$C$367</f>
        <v>Wsh</v>
      </c>
      <c r="D114" s="124" t="str">
        <f>'[1]POOL-joueus'!$D$367</f>
        <v>Brian Pothier</v>
      </c>
      <c r="E114" s="107">
        <f>'[1]POOL-joueus'!$E$367</f>
        <v>0</v>
      </c>
      <c r="F114" s="107">
        <f>'[1]POOL-joueus'!$F$367</f>
        <v>0</v>
      </c>
      <c r="G114" s="107">
        <f>'[1]POOL-joueus'!$G$367</f>
        <v>0</v>
      </c>
      <c r="H114" s="22">
        <f t="shared" si="16"/>
        <v>0</v>
      </c>
      <c r="I114" s="23" t="e">
        <f t="shared" si="17"/>
        <v>#DIV/0!</v>
      </c>
      <c r="J114" s="7" t="s">
        <v>234</v>
      </c>
      <c r="K114" s="7"/>
      <c r="L114" s="7"/>
      <c r="M114" s="2"/>
      <c r="N114" s="83" t="s">
        <v>75</v>
      </c>
      <c r="O114" s="90"/>
      <c r="U114" s="161"/>
    </row>
    <row r="115" spans="2:21" ht="15" customHeight="1">
      <c r="B115" s="185">
        <f>'[1]POOL-joueus'!$B$327</f>
        <v>28.432876712328767</v>
      </c>
      <c r="C115" s="185" t="str">
        <f>'[1]POOL-joueus'!$C$327</f>
        <v>Min</v>
      </c>
      <c r="D115" s="186" t="str">
        <f>'[1]POOL-joueus'!$D$327</f>
        <v>Marc-André Bergeron</v>
      </c>
      <c r="E115" s="185">
        <v>3</v>
      </c>
      <c r="F115" s="185">
        <v>2</v>
      </c>
      <c r="G115" s="185">
        <v>0</v>
      </c>
      <c r="H115" s="139">
        <f t="shared" si="16"/>
        <v>2</v>
      </c>
      <c r="I115" s="182">
        <f t="shared" si="17"/>
        <v>0.6666666666666666</v>
      </c>
      <c r="J115" s="7"/>
      <c r="K115" s="7"/>
      <c r="L115" s="7"/>
      <c r="M115" s="2"/>
      <c r="N115" s="83" t="s">
        <v>76</v>
      </c>
      <c r="O115" s="90"/>
      <c r="U115" s="161"/>
    </row>
    <row r="116" spans="2:21" ht="15" customHeight="1">
      <c r="B116" s="183">
        <f>'[1]POOL-joueus'!$B$332</f>
        <v>22.956164383561642</v>
      </c>
      <c r="C116" s="183" t="str">
        <f>'[1]POOL-joueus'!$C$332</f>
        <v>Chi</v>
      </c>
      <c r="D116" s="184" t="str">
        <f>'[1]POOL-joueus'!$D$332</f>
        <v>Cam Barker</v>
      </c>
      <c r="E116" s="183">
        <v>17</v>
      </c>
      <c r="F116" s="183">
        <v>2</v>
      </c>
      <c r="G116" s="183">
        <v>11</v>
      </c>
      <c r="H116" s="139">
        <f>SUM(F116:G116)</f>
        <v>13</v>
      </c>
      <c r="I116" s="182">
        <f>H116/E116</f>
        <v>0.7647058823529411</v>
      </c>
      <c r="J116" s="7"/>
      <c r="K116" s="7"/>
      <c r="L116" s="7"/>
      <c r="M116" s="82"/>
      <c r="N116" s="83" t="s">
        <v>79</v>
      </c>
      <c r="O116" s="90"/>
      <c r="U116" s="161"/>
    </row>
    <row r="117" spans="2:21" ht="15" customHeight="1">
      <c r="B117" s="185">
        <f>'[1]POOL-joueus'!$B$361</f>
        <v>24.47945205479452</v>
      </c>
      <c r="C117" s="185" t="str">
        <f>'[1]POOL-joueus'!$C$361</f>
        <v>Phi</v>
      </c>
      <c r="D117" s="186" t="str">
        <f>'[1]POOL-joueus'!$D$361</f>
        <v>Matt Carle</v>
      </c>
      <c r="E117" s="185">
        <v>37</v>
      </c>
      <c r="F117" s="185">
        <v>4</v>
      </c>
      <c r="G117" s="185">
        <v>10</v>
      </c>
      <c r="H117" s="139">
        <f>SUM(F117:G117)</f>
        <v>14</v>
      </c>
      <c r="I117" s="182">
        <f>H117/E117</f>
        <v>0.3783783783783784</v>
      </c>
      <c r="J117" s="7"/>
      <c r="K117" s="7"/>
      <c r="L117" s="7"/>
      <c r="M117" s="2"/>
      <c r="N117" s="83" t="s">
        <v>77</v>
      </c>
      <c r="O117" s="90">
        <v>1</v>
      </c>
      <c r="U117" s="161"/>
    </row>
    <row r="118" spans="2:21" ht="15" customHeight="1">
      <c r="B118" s="106">
        <f>'[1]POOL-joueus'!$B$293</f>
        <v>33.78630136986301</v>
      </c>
      <c r="C118" s="106" t="str">
        <f>'[1]POOL-joueus'!$C$293</f>
        <v>Fla</v>
      </c>
      <c r="D118" s="126" t="str">
        <f>'[1]POOL-joueus'!$D$293</f>
        <v>Bryan Mccabe</v>
      </c>
      <c r="E118" s="106">
        <f>(('[1]POOL-joueus'!$E$293))-56</f>
        <v>0</v>
      </c>
      <c r="F118" s="106">
        <f>(('[1]POOL-joueus'!$F$293))-12</f>
        <v>0</v>
      </c>
      <c r="G118" s="106">
        <f>(('[1]POOL-joueus'!$G$293))-21</f>
        <v>0</v>
      </c>
      <c r="H118" s="22">
        <f>SUM(F118:G118)</f>
        <v>0</v>
      </c>
      <c r="I118" s="23" t="e">
        <f>H118/E118</f>
        <v>#DIV/0!</v>
      </c>
      <c r="J118" s="7" t="s">
        <v>234</v>
      </c>
      <c r="K118" s="7"/>
      <c r="L118" s="7"/>
      <c r="M118" s="2"/>
      <c r="N118" s="83" t="s">
        <v>78</v>
      </c>
      <c r="O118" s="90"/>
      <c r="U118" s="161"/>
    </row>
    <row r="119" spans="2:21" ht="15" customHeight="1">
      <c r="B119" s="109">
        <f>'[1]POOL-joueus'!$B$366</f>
        <v>35.99452054794521</v>
      </c>
      <c r="C119" s="109" t="str">
        <f>'[1]POOL-joueus'!$C$366</f>
        <v>Pit</v>
      </c>
      <c r="D119" s="111" t="str">
        <f>'[1]POOL-joueus'!$D$366</f>
        <v>Philippe Boucher</v>
      </c>
      <c r="E119" s="109">
        <f>('[1]POOL-joueus'!$E$366)-28</f>
        <v>11</v>
      </c>
      <c r="F119" s="109">
        <f>('[1]POOL-joueus'!$F$366)</f>
        <v>2</v>
      </c>
      <c r="G119" s="109">
        <f>('[1]POOL-joueus'!$G$366)-5</f>
        <v>0</v>
      </c>
      <c r="H119" s="22">
        <f>SUM(F119:G119)</f>
        <v>2</v>
      </c>
      <c r="I119" s="23">
        <f>H119/E119</f>
        <v>0.18181818181818182</v>
      </c>
      <c r="J119" s="7" t="s">
        <v>234</v>
      </c>
      <c r="K119" s="7"/>
      <c r="L119" s="7"/>
      <c r="M119" s="2"/>
      <c r="N119" s="84"/>
      <c r="O119" s="89"/>
      <c r="U119" s="161"/>
    </row>
    <row r="120" spans="2:21" ht="15" customHeight="1" thickBot="1">
      <c r="B120" s="107"/>
      <c r="C120" s="107"/>
      <c r="D120" s="124"/>
      <c r="E120" s="123"/>
      <c r="F120" s="123"/>
      <c r="G120" s="123"/>
      <c r="H120" s="40">
        <f t="shared" si="16"/>
        <v>0</v>
      </c>
      <c r="I120" s="41" t="e">
        <f t="shared" si="17"/>
        <v>#DIV/0!</v>
      </c>
      <c r="M120" s="2"/>
      <c r="N120" s="93" t="s">
        <v>80</v>
      </c>
      <c r="O120" s="94">
        <f>SUM(O110:O118)</f>
        <v>49</v>
      </c>
      <c r="U120" s="161"/>
    </row>
    <row r="121" spans="2:21" ht="15" customHeight="1">
      <c r="B121" s="278" t="s">
        <v>7</v>
      </c>
      <c r="C121" s="281"/>
      <c r="D121" s="279"/>
      <c r="E121" s="22">
        <f>SUM(E111:E120)</f>
        <v>121</v>
      </c>
      <c r="F121" s="22">
        <f>SUM(F111:F120)</f>
        <v>13</v>
      </c>
      <c r="G121" s="22">
        <f>SUM(G111:G120)</f>
        <v>27</v>
      </c>
      <c r="H121" s="22">
        <f t="shared" si="16"/>
        <v>40</v>
      </c>
      <c r="I121" s="23">
        <f t="shared" si="17"/>
        <v>0.3305785123966942</v>
      </c>
      <c r="M121" s="2"/>
      <c r="U121" s="161"/>
    </row>
    <row r="122" spans="13:21" ht="15" customHeight="1">
      <c r="M122" s="2"/>
      <c r="U122" s="161"/>
    </row>
    <row r="123" spans="2:21" ht="15" customHeight="1">
      <c r="B123" s="251" t="s">
        <v>27</v>
      </c>
      <c r="C123" s="252"/>
      <c r="D123" s="252"/>
      <c r="E123" s="252"/>
      <c r="F123" s="252"/>
      <c r="G123" s="252"/>
      <c r="H123" s="252"/>
      <c r="I123" s="253"/>
      <c r="M123" s="2"/>
      <c r="U123" s="161"/>
    </row>
    <row r="124" spans="1:21" ht="15" customHeight="1" thickBot="1">
      <c r="A124" s="54" t="s">
        <v>143</v>
      </c>
      <c r="B124" s="54" t="s">
        <v>15</v>
      </c>
      <c r="C124" s="54" t="s">
        <v>29</v>
      </c>
      <c r="D124" s="54" t="s">
        <v>17</v>
      </c>
      <c r="E124" s="54" t="s">
        <v>2</v>
      </c>
      <c r="F124" s="54" t="s">
        <v>21</v>
      </c>
      <c r="G124" s="54" t="s">
        <v>30</v>
      </c>
      <c r="H124" s="54" t="s">
        <v>6</v>
      </c>
      <c r="I124" s="54" t="s">
        <v>11</v>
      </c>
      <c r="M124" s="2"/>
      <c r="U124" s="161"/>
    </row>
    <row r="125" spans="1:21" ht="15" customHeight="1" thickTop="1">
      <c r="A125" s="108" t="s">
        <v>145</v>
      </c>
      <c r="B125" s="109">
        <f>'[1]POOL-joueus'!$B$528</f>
        <v>21.076712328767123</v>
      </c>
      <c r="C125" s="109" t="str">
        <f>'[1]POOL-joueus'!$C$528</f>
        <v>Fla</v>
      </c>
      <c r="D125" s="111" t="str">
        <f>'[1]POOL-joueus'!$D$528</f>
        <v>Shawn Mathias</v>
      </c>
      <c r="E125" s="177">
        <f>'[1]POOL-joueus'!$E$528</f>
        <v>17</v>
      </c>
      <c r="F125" s="177">
        <f>'[1]POOL-joueus'!$F$528</f>
        <v>0</v>
      </c>
      <c r="G125" s="177">
        <f>'[1]POOL-joueus'!$G$528</f>
        <v>2</v>
      </c>
      <c r="H125" s="22">
        <f>SUM(F125:G125)</f>
        <v>2</v>
      </c>
      <c r="I125" s="23">
        <f>H125/E125</f>
        <v>0.11764705882352941</v>
      </c>
      <c r="J125" s="1" t="s">
        <v>77</v>
      </c>
      <c r="M125" s="2"/>
      <c r="U125" s="161"/>
    </row>
    <row r="126" spans="1:21" ht="15" customHeight="1">
      <c r="A126" s="108"/>
      <c r="B126" s="109"/>
      <c r="C126" s="109"/>
      <c r="D126" s="111"/>
      <c r="E126" s="177"/>
      <c r="F126" s="177"/>
      <c r="G126" s="177"/>
      <c r="H126" s="178">
        <f>SUM(F126:G126)</f>
        <v>0</v>
      </c>
      <c r="I126" s="23" t="e">
        <f>H126/E126</f>
        <v>#DIV/0!</v>
      </c>
      <c r="M126" s="2"/>
      <c r="U126" s="161"/>
    </row>
    <row r="127" spans="1:21" ht="15" customHeight="1" thickBot="1">
      <c r="A127" s="108"/>
      <c r="B127" s="109"/>
      <c r="C127" s="109"/>
      <c r="D127" s="111"/>
      <c r="E127" s="113"/>
      <c r="F127" s="113"/>
      <c r="G127" s="113"/>
      <c r="H127" s="40">
        <f>SUM(F127:G127)</f>
        <v>0</v>
      </c>
      <c r="I127" s="41" t="e">
        <f>H127/E127</f>
        <v>#DIV/0!</v>
      </c>
      <c r="M127" s="2"/>
      <c r="U127" s="161"/>
    </row>
    <row r="128" spans="2:21" ht="15" customHeight="1">
      <c r="B128" s="278" t="s">
        <v>7</v>
      </c>
      <c r="C128" s="281"/>
      <c r="D128" s="279"/>
      <c r="E128" s="22">
        <f>SUM(E125:E127)</f>
        <v>17</v>
      </c>
      <c r="F128" s="22">
        <f>SUM(F125:F127)</f>
        <v>0</v>
      </c>
      <c r="G128" s="22">
        <f>SUM(G125:G127)</f>
        <v>2</v>
      </c>
      <c r="H128" s="22">
        <f>SUM(F128:G128)</f>
        <v>2</v>
      </c>
      <c r="I128" s="23">
        <f>H128/E128</f>
        <v>0.11764705882352941</v>
      </c>
      <c r="M128" s="2"/>
      <c r="U128" s="161"/>
    </row>
    <row r="129" spans="2:21" ht="15" customHeight="1">
      <c r="B129" s="76"/>
      <c r="C129" s="76"/>
      <c r="D129" s="76"/>
      <c r="E129" s="53"/>
      <c r="F129" s="53"/>
      <c r="G129" s="53"/>
      <c r="H129" s="53"/>
      <c r="I129" s="77"/>
      <c r="M129" s="2"/>
      <c r="U129" s="161"/>
    </row>
    <row r="130" spans="2:21" ht="15" customHeight="1">
      <c r="B130" s="78"/>
      <c r="C130" s="78"/>
      <c r="D130" s="78"/>
      <c r="E130" s="79"/>
      <c r="F130" s="79"/>
      <c r="G130" s="79"/>
      <c r="H130" s="79"/>
      <c r="I130" s="80"/>
      <c r="J130" s="81"/>
      <c r="K130" s="81"/>
      <c r="L130" s="81"/>
      <c r="M130" s="2"/>
      <c r="U130" s="161"/>
    </row>
    <row r="131" spans="13:21" ht="15" customHeight="1" thickBot="1">
      <c r="M131" s="2"/>
      <c r="U131" s="161"/>
    </row>
    <row r="132" spans="2:21" ht="15" customHeight="1" thickBot="1">
      <c r="B132" s="284" t="s">
        <v>49</v>
      </c>
      <c r="C132" s="285"/>
      <c r="D132" s="285"/>
      <c r="E132" s="285"/>
      <c r="F132" s="285"/>
      <c r="G132" s="285"/>
      <c r="H132" s="285"/>
      <c r="I132" s="285"/>
      <c r="J132" s="285"/>
      <c r="K132" s="286"/>
      <c r="M132" s="2"/>
      <c r="U132" s="161"/>
    </row>
    <row r="133" spans="2:21" ht="15" customHeight="1">
      <c r="B133" s="287" t="s">
        <v>50</v>
      </c>
      <c r="C133" s="288"/>
      <c r="D133" s="58" t="s">
        <v>51</v>
      </c>
      <c r="E133" s="313" t="s">
        <v>52</v>
      </c>
      <c r="F133" s="314"/>
      <c r="G133" s="313" t="s">
        <v>53</v>
      </c>
      <c r="H133" s="323"/>
      <c r="I133" s="314"/>
      <c r="J133" s="313" t="s">
        <v>54</v>
      </c>
      <c r="K133" s="314"/>
      <c r="M133" s="2"/>
      <c r="U133" s="161"/>
    </row>
    <row r="134" spans="2:21" ht="15" customHeight="1">
      <c r="B134" s="259" t="s">
        <v>77</v>
      </c>
      <c r="C134" s="260"/>
      <c r="D134" s="47" t="s">
        <v>259</v>
      </c>
      <c r="E134" s="259" t="s">
        <v>250</v>
      </c>
      <c r="F134" s="260"/>
      <c r="G134" s="259" t="s">
        <v>260</v>
      </c>
      <c r="H134" s="261"/>
      <c r="I134" s="260"/>
      <c r="J134" s="259" t="s">
        <v>261</v>
      </c>
      <c r="K134" s="260"/>
      <c r="U134" s="161"/>
    </row>
    <row r="135" spans="2:21" ht="12.75">
      <c r="B135" s="259" t="s">
        <v>244</v>
      </c>
      <c r="C135" s="260"/>
      <c r="D135" s="47" t="s">
        <v>282</v>
      </c>
      <c r="E135" s="259" t="s">
        <v>241</v>
      </c>
      <c r="F135" s="260"/>
      <c r="G135" s="259" t="s">
        <v>283</v>
      </c>
      <c r="H135" s="261"/>
      <c r="I135" s="260"/>
      <c r="J135" s="259" t="s">
        <v>284</v>
      </c>
      <c r="K135" s="260"/>
      <c r="U135" s="161"/>
    </row>
    <row r="136" spans="2:21" ht="12.75">
      <c r="B136" s="259" t="s">
        <v>234</v>
      </c>
      <c r="C136" s="260"/>
      <c r="D136" s="47" t="s">
        <v>322</v>
      </c>
      <c r="E136" s="259" t="s">
        <v>250</v>
      </c>
      <c r="F136" s="260"/>
      <c r="G136" s="259" t="s">
        <v>323</v>
      </c>
      <c r="H136" s="261"/>
      <c r="I136" s="260"/>
      <c r="J136" s="259" t="s">
        <v>324</v>
      </c>
      <c r="K136" s="260"/>
      <c r="U136" s="161"/>
    </row>
    <row r="137" spans="2:21" ht="12.75">
      <c r="B137" s="259" t="s">
        <v>234</v>
      </c>
      <c r="C137" s="260"/>
      <c r="D137" s="47" t="s">
        <v>331</v>
      </c>
      <c r="E137" s="259" t="s">
        <v>250</v>
      </c>
      <c r="F137" s="260"/>
      <c r="G137" s="259" t="s">
        <v>332</v>
      </c>
      <c r="H137" s="261"/>
      <c r="I137" s="260"/>
      <c r="J137" s="259" t="s">
        <v>333</v>
      </c>
      <c r="K137" s="260"/>
      <c r="U137" s="161"/>
    </row>
    <row r="138" spans="2:21" ht="12.75">
      <c r="B138" s="259" t="s">
        <v>234</v>
      </c>
      <c r="C138" s="260"/>
      <c r="D138" s="47" t="s">
        <v>367</v>
      </c>
      <c r="E138" s="259" t="s">
        <v>250</v>
      </c>
      <c r="F138" s="260"/>
      <c r="G138" s="259" t="s">
        <v>368</v>
      </c>
      <c r="H138" s="261"/>
      <c r="I138" s="260"/>
      <c r="J138" s="259" t="s">
        <v>369</v>
      </c>
      <c r="K138" s="260"/>
      <c r="U138" s="161"/>
    </row>
    <row r="139" spans="2:21" ht="12.75">
      <c r="B139" s="259" t="s">
        <v>234</v>
      </c>
      <c r="C139" s="260"/>
      <c r="D139" s="47" t="s">
        <v>422</v>
      </c>
      <c r="E139" s="259" t="s">
        <v>250</v>
      </c>
      <c r="F139" s="260"/>
      <c r="G139" s="259" t="s">
        <v>423</v>
      </c>
      <c r="H139" s="261"/>
      <c r="I139" s="260"/>
      <c r="J139" s="259" t="s">
        <v>424</v>
      </c>
      <c r="K139" s="260"/>
      <c r="U139" s="161"/>
    </row>
    <row r="140" spans="2:21" ht="12.75">
      <c r="B140" s="259" t="s">
        <v>234</v>
      </c>
      <c r="C140" s="260"/>
      <c r="D140" s="47" t="s">
        <v>467</v>
      </c>
      <c r="E140" s="259" t="s">
        <v>250</v>
      </c>
      <c r="F140" s="260"/>
      <c r="G140" s="259" t="s">
        <v>468</v>
      </c>
      <c r="H140" s="261"/>
      <c r="I140" s="260"/>
      <c r="J140" s="259" t="s">
        <v>469</v>
      </c>
      <c r="K140" s="260"/>
      <c r="U140" s="161"/>
    </row>
    <row r="141" spans="2:21" ht="12.75">
      <c r="B141" s="259" t="s">
        <v>308</v>
      </c>
      <c r="C141" s="260"/>
      <c r="D141" s="47" t="s">
        <v>472</v>
      </c>
      <c r="E141" s="259" t="s">
        <v>250</v>
      </c>
      <c r="F141" s="260"/>
      <c r="G141" s="259" t="s">
        <v>473</v>
      </c>
      <c r="H141" s="261"/>
      <c r="I141" s="260"/>
      <c r="J141" s="259" t="s">
        <v>474</v>
      </c>
      <c r="K141" s="260"/>
      <c r="U141" s="161"/>
    </row>
    <row r="142" spans="2:21" ht="12.75">
      <c r="B142" s="259" t="s">
        <v>308</v>
      </c>
      <c r="C142" s="260"/>
      <c r="D142" s="47" t="s">
        <v>468</v>
      </c>
      <c r="E142" s="259" t="s">
        <v>250</v>
      </c>
      <c r="F142" s="260"/>
      <c r="G142" s="259" t="s">
        <v>467</v>
      </c>
      <c r="H142" s="261"/>
      <c r="I142" s="260"/>
      <c r="J142" s="259" t="s">
        <v>475</v>
      </c>
      <c r="K142" s="260"/>
      <c r="U142" s="161"/>
    </row>
    <row r="143" spans="2:21" ht="12.75">
      <c r="B143" s="259" t="s">
        <v>308</v>
      </c>
      <c r="C143" s="260"/>
      <c r="D143" s="47" t="s">
        <v>527</v>
      </c>
      <c r="E143" s="259" t="s">
        <v>250</v>
      </c>
      <c r="F143" s="260"/>
      <c r="G143" s="259" t="s">
        <v>322</v>
      </c>
      <c r="H143" s="261"/>
      <c r="I143" s="260"/>
      <c r="J143" s="259" t="s">
        <v>528</v>
      </c>
      <c r="K143" s="260"/>
      <c r="U143" s="161"/>
    </row>
    <row r="144" spans="2:21" ht="12.75">
      <c r="B144" s="259" t="s">
        <v>308</v>
      </c>
      <c r="C144" s="260"/>
      <c r="D144" s="47" t="s">
        <v>423</v>
      </c>
      <c r="E144" s="259" t="s">
        <v>250</v>
      </c>
      <c r="F144" s="260"/>
      <c r="G144" s="259" t="s">
        <v>422</v>
      </c>
      <c r="H144" s="261"/>
      <c r="I144" s="260"/>
      <c r="J144" s="259" t="s">
        <v>573</v>
      </c>
      <c r="K144" s="260"/>
      <c r="U144" s="161"/>
    </row>
    <row r="145" spans="2:21" ht="12.75">
      <c r="B145" s="259" t="s">
        <v>234</v>
      </c>
      <c r="C145" s="260"/>
      <c r="D145" s="47" t="s">
        <v>595</v>
      </c>
      <c r="E145" s="259" t="s">
        <v>250</v>
      </c>
      <c r="F145" s="260"/>
      <c r="G145" s="259" t="s">
        <v>472</v>
      </c>
      <c r="H145" s="261"/>
      <c r="I145" s="260"/>
      <c r="J145" s="259" t="s">
        <v>596</v>
      </c>
      <c r="K145" s="260"/>
      <c r="U145" s="161"/>
    </row>
    <row r="146" spans="2:21" ht="12.75">
      <c r="B146" s="259" t="s">
        <v>234</v>
      </c>
      <c r="C146" s="260"/>
      <c r="D146" s="47" t="s">
        <v>612</v>
      </c>
      <c r="E146" s="259" t="s">
        <v>250</v>
      </c>
      <c r="F146" s="260"/>
      <c r="G146" s="259" t="s">
        <v>613</v>
      </c>
      <c r="H146" s="261"/>
      <c r="I146" s="260"/>
      <c r="J146" s="259" t="s">
        <v>614</v>
      </c>
      <c r="K146" s="260"/>
      <c r="U146" s="161"/>
    </row>
    <row r="147" spans="2:21" ht="12.75">
      <c r="B147" s="259" t="s">
        <v>308</v>
      </c>
      <c r="C147" s="260"/>
      <c r="D147" s="47" t="s">
        <v>472</v>
      </c>
      <c r="E147" s="259" t="s">
        <v>250</v>
      </c>
      <c r="F147" s="260"/>
      <c r="G147" s="259" t="s">
        <v>595</v>
      </c>
      <c r="H147" s="261"/>
      <c r="I147" s="260"/>
      <c r="J147" s="259" t="s">
        <v>697</v>
      </c>
      <c r="K147" s="260"/>
      <c r="U147" s="161"/>
    </row>
    <row r="148" spans="2:21" ht="12.75">
      <c r="B148" s="259" t="s">
        <v>244</v>
      </c>
      <c r="C148" s="260"/>
      <c r="D148" s="47" t="s">
        <v>712</v>
      </c>
      <c r="E148" s="259" t="s">
        <v>241</v>
      </c>
      <c r="F148" s="260"/>
      <c r="G148" s="259" t="s">
        <v>713</v>
      </c>
      <c r="H148" s="261"/>
      <c r="I148" s="260"/>
      <c r="J148" s="259" t="s">
        <v>714</v>
      </c>
      <c r="K148" s="260"/>
      <c r="U148" s="161"/>
    </row>
    <row r="149" spans="2:21" ht="12.75">
      <c r="B149" s="259" t="s">
        <v>234</v>
      </c>
      <c r="C149" s="260"/>
      <c r="D149" s="47" t="s">
        <v>613</v>
      </c>
      <c r="E149" s="259" t="s">
        <v>250</v>
      </c>
      <c r="F149" s="260"/>
      <c r="G149" s="259" t="s">
        <v>713</v>
      </c>
      <c r="H149" s="261"/>
      <c r="I149" s="260"/>
      <c r="J149" s="259" t="s">
        <v>723</v>
      </c>
      <c r="K149" s="260"/>
      <c r="U149" s="161"/>
    </row>
    <row r="150" spans="2:21" ht="12.75">
      <c r="B150" s="259" t="s">
        <v>234</v>
      </c>
      <c r="C150" s="260"/>
      <c r="D150" s="47" t="s">
        <v>662</v>
      </c>
      <c r="E150" s="259" t="s">
        <v>250</v>
      </c>
      <c r="F150" s="260"/>
      <c r="G150" s="259" t="s">
        <v>472</v>
      </c>
      <c r="H150" s="261"/>
      <c r="I150" s="260"/>
      <c r="J150" s="259" t="s">
        <v>734</v>
      </c>
      <c r="K150" s="260"/>
      <c r="U150" s="161"/>
    </row>
    <row r="151" spans="2:21" ht="12.75">
      <c r="B151" s="259" t="s">
        <v>234</v>
      </c>
      <c r="C151" s="260"/>
      <c r="D151" s="47" t="s">
        <v>332</v>
      </c>
      <c r="E151" s="259" t="s">
        <v>250</v>
      </c>
      <c r="F151" s="260"/>
      <c r="G151" s="259" t="s">
        <v>735</v>
      </c>
      <c r="H151" s="261"/>
      <c r="I151" s="260"/>
      <c r="J151" s="259" t="s">
        <v>736</v>
      </c>
      <c r="K151" s="260"/>
      <c r="U151" s="161"/>
    </row>
    <row r="152" spans="2:21" ht="12.75">
      <c r="B152" s="259" t="s">
        <v>308</v>
      </c>
      <c r="C152" s="260"/>
      <c r="D152" s="47" t="s">
        <v>745</v>
      </c>
      <c r="E152" s="259" t="s">
        <v>250</v>
      </c>
      <c r="F152" s="260"/>
      <c r="G152" s="259" t="s">
        <v>746</v>
      </c>
      <c r="H152" s="261"/>
      <c r="I152" s="260"/>
      <c r="J152" s="259" t="s">
        <v>747</v>
      </c>
      <c r="K152" s="260"/>
      <c r="U152" s="161"/>
    </row>
    <row r="153" spans="2:21" ht="12.75">
      <c r="B153" s="259" t="s">
        <v>234</v>
      </c>
      <c r="C153" s="260"/>
      <c r="D153" s="47" t="s">
        <v>472</v>
      </c>
      <c r="E153" s="259" t="s">
        <v>250</v>
      </c>
      <c r="F153" s="260"/>
      <c r="G153" s="259" t="s">
        <v>754</v>
      </c>
      <c r="H153" s="261"/>
      <c r="I153" s="260"/>
      <c r="J153" s="259" t="s">
        <v>755</v>
      </c>
      <c r="K153" s="260"/>
      <c r="U153" s="161"/>
    </row>
    <row r="154" spans="2:21" ht="12.75">
      <c r="B154" s="259" t="s">
        <v>308</v>
      </c>
      <c r="C154" s="260"/>
      <c r="D154" s="47" t="s">
        <v>713</v>
      </c>
      <c r="E154" s="259" t="s">
        <v>250</v>
      </c>
      <c r="F154" s="260"/>
      <c r="G154" s="259" t="s">
        <v>612</v>
      </c>
      <c r="H154" s="261"/>
      <c r="I154" s="260"/>
      <c r="J154" s="259" t="s">
        <v>776</v>
      </c>
      <c r="K154" s="260"/>
      <c r="U154" s="161"/>
    </row>
    <row r="155" spans="2:21" ht="12.75">
      <c r="B155" s="259" t="s">
        <v>308</v>
      </c>
      <c r="C155" s="260"/>
      <c r="D155" s="47" t="s">
        <v>795</v>
      </c>
      <c r="E155" s="259" t="s">
        <v>250</v>
      </c>
      <c r="F155" s="260"/>
      <c r="G155" s="259" t="s">
        <v>331</v>
      </c>
      <c r="H155" s="261"/>
      <c r="I155" s="260"/>
      <c r="J155" s="259" t="s">
        <v>796</v>
      </c>
      <c r="K155" s="260"/>
      <c r="U155" s="161"/>
    </row>
    <row r="156" spans="2:21" ht="12.75">
      <c r="B156" s="259" t="s">
        <v>308</v>
      </c>
      <c r="C156" s="260"/>
      <c r="D156" s="47" t="s">
        <v>527</v>
      </c>
      <c r="E156" s="259" t="s">
        <v>250</v>
      </c>
      <c r="F156" s="260"/>
      <c r="G156" s="259" t="s">
        <v>662</v>
      </c>
      <c r="H156" s="261"/>
      <c r="I156" s="260"/>
      <c r="J156" s="259" t="s">
        <v>812</v>
      </c>
      <c r="K156" s="260"/>
      <c r="U156" s="161"/>
    </row>
    <row r="157" spans="2:21" ht="12.75">
      <c r="B157" s="259" t="s">
        <v>308</v>
      </c>
      <c r="C157" s="260"/>
      <c r="D157" s="47" t="s">
        <v>821</v>
      </c>
      <c r="E157" s="259" t="s">
        <v>250</v>
      </c>
      <c r="F157" s="260"/>
      <c r="G157" s="259" t="s">
        <v>822</v>
      </c>
      <c r="H157" s="261"/>
      <c r="I157" s="260"/>
      <c r="J157" s="259" t="s">
        <v>823</v>
      </c>
      <c r="K157" s="260"/>
      <c r="U157" s="161"/>
    </row>
    <row r="158" spans="2:21" ht="12.75">
      <c r="B158" s="259" t="s">
        <v>234</v>
      </c>
      <c r="C158" s="260"/>
      <c r="D158" s="47" t="s">
        <v>331</v>
      </c>
      <c r="E158" s="259" t="s">
        <v>250</v>
      </c>
      <c r="F158" s="260"/>
      <c r="G158" s="259" t="s">
        <v>795</v>
      </c>
      <c r="H158" s="261"/>
      <c r="I158" s="260"/>
      <c r="J158" s="259" t="s">
        <v>845</v>
      </c>
      <c r="K158" s="260"/>
      <c r="U158" s="161"/>
    </row>
    <row r="159" spans="2:21" ht="12.75">
      <c r="B159" s="259" t="s">
        <v>234</v>
      </c>
      <c r="C159" s="260"/>
      <c r="D159" s="47" t="s">
        <v>795</v>
      </c>
      <c r="E159" s="259" t="s">
        <v>250</v>
      </c>
      <c r="F159" s="260"/>
      <c r="G159" s="259" t="s">
        <v>909</v>
      </c>
      <c r="H159" s="261"/>
      <c r="I159" s="260"/>
      <c r="J159" s="259" t="s">
        <v>910</v>
      </c>
      <c r="K159" s="260"/>
      <c r="U159" s="161"/>
    </row>
    <row r="160" spans="2:21" ht="12.75">
      <c r="B160" s="259" t="s">
        <v>234</v>
      </c>
      <c r="C160" s="260"/>
      <c r="D160" s="47" t="s">
        <v>925</v>
      </c>
      <c r="E160" s="259" t="s">
        <v>250</v>
      </c>
      <c r="F160" s="260"/>
      <c r="G160" s="259" t="s">
        <v>926</v>
      </c>
      <c r="H160" s="261"/>
      <c r="I160" s="260"/>
      <c r="J160" s="259" t="s">
        <v>927</v>
      </c>
      <c r="K160" s="260"/>
      <c r="U160" s="161"/>
    </row>
    <row r="161" spans="2:21" ht="12.75">
      <c r="B161" s="259" t="s">
        <v>244</v>
      </c>
      <c r="C161" s="260"/>
      <c r="D161" s="47" t="s">
        <v>935</v>
      </c>
      <c r="E161" s="259" t="s">
        <v>241</v>
      </c>
      <c r="F161" s="260"/>
      <c r="G161" s="259" t="s">
        <v>936</v>
      </c>
      <c r="H161" s="261"/>
      <c r="I161" s="260"/>
      <c r="J161" s="259" t="s">
        <v>937</v>
      </c>
      <c r="K161" s="260"/>
      <c r="U161" s="161"/>
    </row>
    <row r="162" spans="2:21" ht="12.75">
      <c r="B162" s="259" t="s">
        <v>308</v>
      </c>
      <c r="C162" s="260"/>
      <c r="D162" s="47" t="s">
        <v>939</v>
      </c>
      <c r="E162" s="259" t="s">
        <v>250</v>
      </c>
      <c r="F162" s="260"/>
      <c r="G162" s="259" t="s">
        <v>323</v>
      </c>
      <c r="H162" s="261"/>
      <c r="I162" s="260"/>
      <c r="J162" s="259" t="s">
        <v>940</v>
      </c>
      <c r="K162" s="260"/>
      <c r="U162" s="161"/>
    </row>
    <row r="163" spans="2:21" ht="12.75">
      <c r="B163" s="259" t="s">
        <v>234</v>
      </c>
      <c r="C163" s="260"/>
      <c r="D163" s="47" t="s">
        <v>467</v>
      </c>
      <c r="E163" s="259" t="s">
        <v>250</v>
      </c>
      <c r="F163" s="260"/>
      <c r="G163" s="259" t="s">
        <v>468</v>
      </c>
      <c r="H163" s="261"/>
      <c r="I163" s="260"/>
      <c r="J163" s="259" t="s">
        <v>946</v>
      </c>
      <c r="K163" s="260"/>
      <c r="U163" s="161"/>
    </row>
    <row r="164" spans="2:21" ht="12.75">
      <c r="B164" s="259" t="s">
        <v>308</v>
      </c>
      <c r="C164" s="260"/>
      <c r="D164" s="47" t="s">
        <v>468</v>
      </c>
      <c r="E164" s="259" t="s">
        <v>250</v>
      </c>
      <c r="F164" s="260"/>
      <c r="G164" s="259" t="s">
        <v>467</v>
      </c>
      <c r="H164" s="261"/>
      <c r="I164" s="260"/>
      <c r="J164" s="259" t="s">
        <v>958</v>
      </c>
      <c r="K164" s="260"/>
      <c r="U164" s="161"/>
    </row>
    <row r="165" spans="2:21" ht="12.75">
      <c r="B165" s="259" t="s">
        <v>308</v>
      </c>
      <c r="C165" s="260"/>
      <c r="D165" s="47" t="s">
        <v>909</v>
      </c>
      <c r="E165" s="259" t="s">
        <v>250</v>
      </c>
      <c r="F165" s="260"/>
      <c r="G165" s="259" t="s">
        <v>962</v>
      </c>
      <c r="H165" s="261"/>
      <c r="I165" s="260"/>
      <c r="J165" s="259" t="s">
        <v>963</v>
      </c>
      <c r="K165" s="260"/>
      <c r="U165" s="161"/>
    </row>
    <row r="166" spans="2:21" ht="12.75">
      <c r="B166" s="259" t="s">
        <v>234</v>
      </c>
      <c r="C166" s="260"/>
      <c r="D166" s="47" t="s">
        <v>422</v>
      </c>
      <c r="E166" s="259" t="s">
        <v>250</v>
      </c>
      <c r="F166" s="260"/>
      <c r="G166" s="259" t="s">
        <v>936</v>
      </c>
      <c r="H166" s="261"/>
      <c r="I166" s="260"/>
      <c r="J166" s="259" t="s">
        <v>964</v>
      </c>
      <c r="K166" s="260"/>
      <c r="U166" s="161"/>
    </row>
    <row r="167" spans="2:21" ht="12.75">
      <c r="B167" s="259" t="s">
        <v>234</v>
      </c>
      <c r="C167" s="260"/>
      <c r="D167" s="47" t="s">
        <v>662</v>
      </c>
      <c r="E167" s="259" t="s">
        <v>250</v>
      </c>
      <c r="F167" s="260"/>
      <c r="G167" s="259" t="s">
        <v>473</v>
      </c>
      <c r="H167" s="261"/>
      <c r="I167" s="260"/>
      <c r="J167" s="259" t="s">
        <v>1081</v>
      </c>
      <c r="K167" s="260"/>
      <c r="U167" s="161"/>
    </row>
    <row r="168" spans="2:21" ht="12.75">
      <c r="B168" s="259" t="s">
        <v>308</v>
      </c>
      <c r="C168" s="260"/>
      <c r="D168" s="47" t="s">
        <v>735</v>
      </c>
      <c r="E168" s="259" t="s">
        <v>250</v>
      </c>
      <c r="F168" s="260"/>
      <c r="G168" s="259" t="s">
        <v>422</v>
      </c>
      <c r="H168" s="261"/>
      <c r="I168" s="260"/>
      <c r="J168" s="259" t="s">
        <v>1104</v>
      </c>
      <c r="K168" s="260"/>
      <c r="U168" s="161"/>
    </row>
    <row r="169" spans="2:21" ht="12.75">
      <c r="B169" s="259" t="s">
        <v>234</v>
      </c>
      <c r="C169" s="260"/>
      <c r="D169" s="47" t="s">
        <v>473</v>
      </c>
      <c r="E169" s="259" t="s">
        <v>250</v>
      </c>
      <c r="F169" s="260"/>
      <c r="G169" s="259" t="s">
        <v>472</v>
      </c>
      <c r="H169" s="261"/>
      <c r="I169" s="260"/>
      <c r="J169" s="259" t="s">
        <v>1107</v>
      </c>
      <c r="K169" s="260"/>
      <c r="U169" s="161"/>
    </row>
    <row r="170" spans="2:21" ht="12.75">
      <c r="B170" s="259" t="s">
        <v>234</v>
      </c>
      <c r="C170" s="260"/>
      <c r="D170" s="47" t="s">
        <v>1113</v>
      </c>
      <c r="E170" s="259" t="s">
        <v>250</v>
      </c>
      <c r="F170" s="260"/>
      <c r="G170" s="259" t="s">
        <v>368</v>
      </c>
      <c r="H170" s="261"/>
      <c r="I170" s="260"/>
      <c r="J170" s="259" t="s">
        <v>1114</v>
      </c>
      <c r="K170" s="260"/>
      <c r="U170" s="161"/>
    </row>
    <row r="171" spans="2:21" ht="12.75">
      <c r="B171" s="259" t="s">
        <v>308</v>
      </c>
      <c r="C171" s="260"/>
      <c r="D171" s="47" t="s">
        <v>527</v>
      </c>
      <c r="E171" s="259" t="s">
        <v>250</v>
      </c>
      <c r="F171" s="260"/>
      <c r="G171" s="259" t="s">
        <v>473</v>
      </c>
      <c r="H171" s="261"/>
      <c r="I171" s="260"/>
      <c r="J171" s="259" t="s">
        <v>1126</v>
      </c>
      <c r="K171" s="260"/>
      <c r="U171" s="161"/>
    </row>
    <row r="172" spans="2:21" ht="12.75">
      <c r="B172" s="259" t="s">
        <v>308</v>
      </c>
      <c r="C172" s="260"/>
      <c r="D172" s="47" t="s">
        <v>472</v>
      </c>
      <c r="E172" s="259" t="s">
        <v>250</v>
      </c>
      <c r="F172" s="260"/>
      <c r="G172" s="259" t="s">
        <v>822</v>
      </c>
      <c r="H172" s="261"/>
      <c r="I172" s="260"/>
      <c r="J172" s="259" t="s">
        <v>1127</v>
      </c>
      <c r="K172" s="260"/>
      <c r="U172" s="161"/>
    </row>
    <row r="173" spans="2:21" ht="12.75">
      <c r="B173" s="259" t="s">
        <v>308</v>
      </c>
      <c r="C173" s="260"/>
      <c r="D173" s="47" t="s">
        <v>745</v>
      </c>
      <c r="E173" s="259" t="s">
        <v>250</v>
      </c>
      <c r="F173" s="260"/>
      <c r="G173" s="259" t="s">
        <v>467</v>
      </c>
      <c r="H173" s="261"/>
      <c r="I173" s="260"/>
      <c r="J173" s="259" t="s">
        <v>1148</v>
      </c>
      <c r="K173" s="260"/>
      <c r="U173" s="161"/>
    </row>
    <row r="174" spans="2:21" ht="12.75">
      <c r="B174" s="259" t="s">
        <v>71</v>
      </c>
      <c r="C174" s="260"/>
      <c r="D174" s="47" t="s">
        <v>332</v>
      </c>
      <c r="E174" s="259" t="s">
        <v>250</v>
      </c>
      <c r="F174" s="260"/>
      <c r="G174" s="259" t="s">
        <v>735</v>
      </c>
      <c r="H174" s="261"/>
      <c r="I174" s="260"/>
      <c r="J174" s="259" t="s">
        <v>1148</v>
      </c>
      <c r="K174" s="260"/>
      <c r="U174" s="161"/>
    </row>
    <row r="175" spans="2:21" ht="12.75">
      <c r="B175" s="259" t="s">
        <v>244</v>
      </c>
      <c r="C175" s="260"/>
      <c r="D175" s="47" t="s">
        <v>1144</v>
      </c>
      <c r="E175" s="259" t="s">
        <v>241</v>
      </c>
      <c r="F175" s="260"/>
      <c r="G175" s="259" t="s">
        <v>1145</v>
      </c>
      <c r="H175" s="261"/>
      <c r="I175" s="260"/>
      <c r="J175" s="259" t="s">
        <v>1146</v>
      </c>
      <c r="K175" s="260"/>
      <c r="U175" s="161"/>
    </row>
    <row r="176" spans="2:11" ht="12.75">
      <c r="B176" s="259" t="s">
        <v>234</v>
      </c>
      <c r="C176" s="260"/>
      <c r="D176" s="47" t="s">
        <v>1147</v>
      </c>
      <c r="E176" s="259" t="s">
        <v>250</v>
      </c>
      <c r="F176" s="260"/>
      <c r="G176" s="259" t="s">
        <v>1145</v>
      </c>
      <c r="H176" s="261"/>
      <c r="I176" s="260"/>
      <c r="J176" s="259" t="s">
        <v>1146</v>
      </c>
      <c r="K176" s="260"/>
    </row>
    <row r="177" spans="2:11" ht="12.75">
      <c r="B177" s="259" t="s">
        <v>234</v>
      </c>
      <c r="C177" s="260"/>
      <c r="D177" s="47" t="s">
        <v>322</v>
      </c>
      <c r="E177" s="259" t="s">
        <v>250</v>
      </c>
      <c r="F177" s="260"/>
      <c r="G177" s="259" t="s">
        <v>472</v>
      </c>
      <c r="H177" s="261"/>
      <c r="I177" s="260"/>
      <c r="J177" s="259" t="s">
        <v>1164</v>
      </c>
      <c r="K177" s="260"/>
    </row>
    <row r="178" spans="2:11" ht="12.75">
      <c r="B178" s="259" t="s">
        <v>308</v>
      </c>
      <c r="C178" s="260"/>
      <c r="D178" s="47" t="s">
        <v>1145</v>
      </c>
      <c r="E178" s="259" t="s">
        <v>250</v>
      </c>
      <c r="F178" s="260"/>
      <c r="G178" s="259" t="s">
        <v>613</v>
      </c>
      <c r="H178" s="261"/>
      <c r="I178" s="260"/>
      <c r="J178" s="259" t="s">
        <v>1168</v>
      </c>
      <c r="K178" s="260"/>
    </row>
    <row r="179" spans="2:11" ht="12.75">
      <c r="B179" s="259"/>
      <c r="C179" s="260"/>
      <c r="D179" s="47"/>
      <c r="E179" s="259"/>
      <c r="F179" s="260"/>
      <c r="G179" s="259"/>
      <c r="H179" s="261"/>
      <c r="I179" s="260"/>
      <c r="J179" s="259"/>
      <c r="K179" s="260"/>
    </row>
    <row r="180" spans="2:11" ht="12.75">
      <c r="B180" s="259"/>
      <c r="C180" s="260"/>
      <c r="D180" s="47"/>
      <c r="E180" s="259"/>
      <c r="F180" s="260"/>
      <c r="G180" s="259"/>
      <c r="H180" s="261"/>
      <c r="I180" s="260"/>
      <c r="J180" s="259"/>
      <c r="K180" s="260"/>
    </row>
    <row r="181" spans="2:11" ht="12.75">
      <c r="B181" s="259"/>
      <c r="C181" s="260"/>
      <c r="D181" s="47"/>
      <c r="E181" s="259"/>
      <c r="F181" s="260"/>
      <c r="G181" s="259"/>
      <c r="H181" s="261"/>
      <c r="I181" s="260"/>
      <c r="J181" s="259"/>
      <c r="K181" s="260"/>
    </row>
  </sheetData>
  <mergeCells count="247">
    <mergeCell ref="B177:C177"/>
    <mergeCell ref="E177:F177"/>
    <mergeCell ref="G177:I177"/>
    <mergeCell ref="J177:K177"/>
    <mergeCell ref="B175:C175"/>
    <mergeCell ref="E175:F175"/>
    <mergeCell ref="G175:I175"/>
    <mergeCell ref="J175:K175"/>
    <mergeCell ref="B172:C172"/>
    <mergeCell ref="E172:F172"/>
    <mergeCell ref="G172:I172"/>
    <mergeCell ref="J172:K172"/>
    <mergeCell ref="B171:C171"/>
    <mergeCell ref="E171:F171"/>
    <mergeCell ref="G171:I171"/>
    <mergeCell ref="J171:K171"/>
    <mergeCell ref="B170:C170"/>
    <mergeCell ref="E170:F170"/>
    <mergeCell ref="G170:I170"/>
    <mergeCell ref="J170:K170"/>
    <mergeCell ref="B169:C169"/>
    <mergeCell ref="E169:F169"/>
    <mergeCell ref="G169:I169"/>
    <mergeCell ref="J169:K169"/>
    <mergeCell ref="B168:C168"/>
    <mergeCell ref="E168:F168"/>
    <mergeCell ref="G168:I168"/>
    <mergeCell ref="J168:K168"/>
    <mergeCell ref="B167:C167"/>
    <mergeCell ref="E167:F167"/>
    <mergeCell ref="G167:I167"/>
    <mergeCell ref="J167:K167"/>
    <mergeCell ref="B166:C166"/>
    <mergeCell ref="E166:F166"/>
    <mergeCell ref="G166:I166"/>
    <mergeCell ref="J166:K166"/>
    <mergeCell ref="B165:C165"/>
    <mergeCell ref="E165:F165"/>
    <mergeCell ref="G165:I165"/>
    <mergeCell ref="J165:K165"/>
    <mergeCell ref="B164:C164"/>
    <mergeCell ref="E164:F164"/>
    <mergeCell ref="G164:I164"/>
    <mergeCell ref="J164:K164"/>
    <mergeCell ref="B163:C163"/>
    <mergeCell ref="E163:F163"/>
    <mergeCell ref="G163:I163"/>
    <mergeCell ref="J163:K163"/>
    <mergeCell ref="B162:C162"/>
    <mergeCell ref="E162:F162"/>
    <mergeCell ref="G162:I162"/>
    <mergeCell ref="J162:K162"/>
    <mergeCell ref="B161:C161"/>
    <mergeCell ref="E161:F161"/>
    <mergeCell ref="G161:I161"/>
    <mergeCell ref="J161:K161"/>
    <mergeCell ref="B160:C160"/>
    <mergeCell ref="E160:F160"/>
    <mergeCell ref="G160:I160"/>
    <mergeCell ref="J160:K160"/>
    <mergeCell ref="B159:C159"/>
    <mergeCell ref="E159:F159"/>
    <mergeCell ref="G159:I159"/>
    <mergeCell ref="J159:K159"/>
    <mergeCell ref="B158:C158"/>
    <mergeCell ref="E158:F158"/>
    <mergeCell ref="G158:I158"/>
    <mergeCell ref="J158:K158"/>
    <mergeCell ref="B157:C157"/>
    <mergeCell ref="E157:F157"/>
    <mergeCell ref="G157:I157"/>
    <mergeCell ref="J157:K157"/>
    <mergeCell ref="B156:C156"/>
    <mergeCell ref="E156:F156"/>
    <mergeCell ref="G156:I156"/>
    <mergeCell ref="J156:K156"/>
    <mergeCell ref="B155:C155"/>
    <mergeCell ref="E155:F155"/>
    <mergeCell ref="G155:I155"/>
    <mergeCell ref="J155:K155"/>
    <mergeCell ref="B154:C154"/>
    <mergeCell ref="E154:F154"/>
    <mergeCell ref="G154:I154"/>
    <mergeCell ref="J154:K154"/>
    <mergeCell ref="B153:C153"/>
    <mergeCell ref="E153:F153"/>
    <mergeCell ref="G153:I153"/>
    <mergeCell ref="J153:K153"/>
    <mergeCell ref="B152:C152"/>
    <mergeCell ref="E152:F152"/>
    <mergeCell ref="G152:I152"/>
    <mergeCell ref="J152:K152"/>
    <mergeCell ref="B151:C151"/>
    <mergeCell ref="E151:F151"/>
    <mergeCell ref="G151:I151"/>
    <mergeCell ref="J151:K151"/>
    <mergeCell ref="B150:C150"/>
    <mergeCell ref="E150:F150"/>
    <mergeCell ref="G150:I150"/>
    <mergeCell ref="J150:K150"/>
    <mergeCell ref="B149:C149"/>
    <mergeCell ref="E149:F149"/>
    <mergeCell ref="G149:I149"/>
    <mergeCell ref="J149:K149"/>
    <mergeCell ref="B148:C148"/>
    <mergeCell ref="E148:F148"/>
    <mergeCell ref="G148:I148"/>
    <mergeCell ref="J148:K148"/>
    <mergeCell ref="B147:C147"/>
    <mergeCell ref="E147:F147"/>
    <mergeCell ref="G147:I147"/>
    <mergeCell ref="J147:K147"/>
    <mergeCell ref="B146:C146"/>
    <mergeCell ref="E146:F146"/>
    <mergeCell ref="G146:I146"/>
    <mergeCell ref="J146:K146"/>
    <mergeCell ref="B145:C145"/>
    <mergeCell ref="E145:F145"/>
    <mergeCell ref="G145:I145"/>
    <mergeCell ref="J145:K145"/>
    <mergeCell ref="B144:C144"/>
    <mergeCell ref="E144:F144"/>
    <mergeCell ref="G144:I144"/>
    <mergeCell ref="J144:K144"/>
    <mergeCell ref="B143:C143"/>
    <mergeCell ref="E143:F143"/>
    <mergeCell ref="G143:I143"/>
    <mergeCell ref="J143:K143"/>
    <mergeCell ref="B142:C142"/>
    <mergeCell ref="E142:F142"/>
    <mergeCell ref="G142:I142"/>
    <mergeCell ref="J142:K142"/>
    <mergeCell ref="B141:C141"/>
    <mergeCell ref="E141:F141"/>
    <mergeCell ref="G141:I141"/>
    <mergeCell ref="J141:K141"/>
    <mergeCell ref="B140:C140"/>
    <mergeCell ref="E140:F140"/>
    <mergeCell ref="G140:I140"/>
    <mergeCell ref="J140:K140"/>
    <mergeCell ref="B139:C139"/>
    <mergeCell ref="E139:F139"/>
    <mergeCell ref="G139:I139"/>
    <mergeCell ref="J139:K139"/>
    <mergeCell ref="B138:C138"/>
    <mergeCell ref="E138:F138"/>
    <mergeCell ref="G138:I138"/>
    <mergeCell ref="J138:K138"/>
    <mergeCell ref="B137:C137"/>
    <mergeCell ref="E137:F137"/>
    <mergeCell ref="G137:I137"/>
    <mergeCell ref="J137:K137"/>
    <mergeCell ref="B136:C136"/>
    <mergeCell ref="E136:F136"/>
    <mergeCell ref="G136:I136"/>
    <mergeCell ref="J136:K136"/>
    <mergeCell ref="B135:C135"/>
    <mergeCell ref="E135:F135"/>
    <mergeCell ref="G135:I135"/>
    <mergeCell ref="J135:K135"/>
    <mergeCell ref="B134:C134"/>
    <mergeCell ref="E134:F134"/>
    <mergeCell ref="G134:I134"/>
    <mergeCell ref="J134:K134"/>
    <mergeCell ref="B133:C133"/>
    <mergeCell ref="E133:F133"/>
    <mergeCell ref="G133:I133"/>
    <mergeCell ref="J133:K133"/>
    <mergeCell ref="B123:I123"/>
    <mergeCell ref="B99:I99"/>
    <mergeCell ref="B128:D128"/>
    <mergeCell ref="B132:K132"/>
    <mergeCell ref="B107:D107"/>
    <mergeCell ref="B76:K76"/>
    <mergeCell ref="B109:I109"/>
    <mergeCell ref="B121:D121"/>
    <mergeCell ref="B97:D97"/>
    <mergeCell ref="B82:D82"/>
    <mergeCell ref="B84:I84"/>
    <mergeCell ref="C72:D72"/>
    <mergeCell ref="C73:D73"/>
    <mergeCell ref="C74:D74"/>
    <mergeCell ref="B64:I64"/>
    <mergeCell ref="B68:D68"/>
    <mergeCell ref="B70:K70"/>
    <mergeCell ref="B48:D48"/>
    <mergeCell ref="B50:I50"/>
    <mergeCell ref="N43:S43"/>
    <mergeCell ref="B62:D62"/>
    <mergeCell ref="N20:R20"/>
    <mergeCell ref="B38:D38"/>
    <mergeCell ref="N30:R30"/>
    <mergeCell ref="B40:I40"/>
    <mergeCell ref="C11:D11"/>
    <mergeCell ref="B13:K13"/>
    <mergeCell ref="B20:D20"/>
    <mergeCell ref="B22:I22"/>
    <mergeCell ref="B6:K6"/>
    <mergeCell ref="C9:D9"/>
    <mergeCell ref="C10:D10"/>
    <mergeCell ref="N10:R10"/>
    <mergeCell ref="Z34:AA34"/>
    <mergeCell ref="W10:AB10"/>
    <mergeCell ref="X11:Y11"/>
    <mergeCell ref="X30:Y30"/>
    <mergeCell ref="X31:Y31"/>
    <mergeCell ref="Z11:AA11"/>
    <mergeCell ref="Z30:AA30"/>
    <mergeCell ref="Z31:AA31"/>
    <mergeCell ref="Z35:AA35"/>
    <mergeCell ref="W57:Y57"/>
    <mergeCell ref="AC57:AE57"/>
    <mergeCell ref="X32:Y32"/>
    <mergeCell ref="X33:Y33"/>
    <mergeCell ref="X35:Y35"/>
    <mergeCell ref="W40:AD40"/>
    <mergeCell ref="X34:Y34"/>
    <mergeCell ref="Z32:AA32"/>
    <mergeCell ref="Z33:AA33"/>
    <mergeCell ref="B176:C176"/>
    <mergeCell ref="E176:F176"/>
    <mergeCell ref="G176:I176"/>
    <mergeCell ref="J176:K176"/>
    <mergeCell ref="B173:C173"/>
    <mergeCell ref="E173:F173"/>
    <mergeCell ref="G173:I173"/>
    <mergeCell ref="J173:K173"/>
    <mergeCell ref="B174:C174"/>
    <mergeCell ref="E174:F174"/>
    <mergeCell ref="G174:I174"/>
    <mergeCell ref="J174:K174"/>
    <mergeCell ref="B178:C178"/>
    <mergeCell ref="E178:F178"/>
    <mergeCell ref="G178:I178"/>
    <mergeCell ref="J178:K178"/>
    <mergeCell ref="B179:C179"/>
    <mergeCell ref="E179:F179"/>
    <mergeCell ref="G179:I179"/>
    <mergeCell ref="J179:K179"/>
    <mergeCell ref="B180:C180"/>
    <mergeCell ref="E180:F180"/>
    <mergeCell ref="G180:I180"/>
    <mergeCell ref="J180:K180"/>
    <mergeCell ref="B181:C181"/>
    <mergeCell ref="E181:F181"/>
    <mergeCell ref="G181:I181"/>
    <mergeCell ref="J181:K181"/>
  </mergeCells>
  <printOptions/>
  <pageMargins left="0.75" right="0.75" top="1" bottom="1" header="0.4921259845" footer="0.4921259845"/>
  <pageSetup orientation="portrait" paperSize="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179"/>
  <sheetViews>
    <sheetView workbookViewId="0" topLeftCell="A1">
      <selection activeCell="F17" sqref="F17"/>
    </sheetView>
  </sheetViews>
  <sheetFormatPr defaultColWidth="11.421875" defaultRowHeight="12.75"/>
  <cols>
    <col min="1" max="1" width="3.7109375" style="1" customWidth="1"/>
    <col min="2" max="2" width="4.421875" style="1" customWidth="1"/>
    <col min="3" max="3" width="7.140625" style="1" customWidth="1"/>
    <col min="4" max="4" width="19.7109375" style="1" customWidth="1"/>
    <col min="5" max="7" width="5.57421875" style="1" customWidth="1"/>
    <col min="8" max="8" width="5.7109375" style="1" customWidth="1"/>
    <col min="9" max="9" width="7.7109375" style="1" customWidth="1"/>
    <col min="10" max="10" width="5.421875" style="1" customWidth="1"/>
    <col min="11" max="11" width="7.7109375" style="1" customWidth="1"/>
    <col min="12" max="12" width="2.57421875" style="1" customWidth="1"/>
    <col min="13" max="13" width="2.421875" style="1" customWidth="1"/>
    <col min="14" max="14" width="15.00390625" style="1" customWidth="1"/>
    <col min="15" max="16" width="8.00390625" style="1" customWidth="1"/>
    <col min="17" max="17" width="7.7109375" style="1" customWidth="1"/>
    <col min="18" max="18" width="12.57421875" style="1" customWidth="1"/>
    <col min="19" max="19" width="11.421875" style="1" customWidth="1"/>
    <col min="20" max="20" width="2.28125" style="1" customWidth="1"/>
    <col min="21" max="21" width="1.7109375" style="1" customWidth="1"/>
    <col min="22" max="22" width="2.140625" style="1" customWidth="1"/>
    <col min="23" max="23" width="14.00390625" style="1" customWidth="1"/>
    <col min="24" max="24" width="6.140625" style="1" customWidth="1"/>
    <col min="25" max="25" width="7.28125" style="1" customWidth="1"/>
    <col min="26" max="26" width="13.57421875" style="1" customWidth="1"/>
    <col min="27" max="16384" width="11.421875" style="1" customWidth="1"/>
  </cols>
  <sheetData>
    <row r="1" spans="13:21" ht="12.75">
      <c r="M1" s="2"/>
      <c r="U1" s="161"/>
    </row>
    <row r="2" spans="13:21" ht="12.75">
      <c r="M2" s="2"/>
      <c r="U2" s="161"/>
    </row>
    <row r="3" spans="13:21" ht="12.75">
      <c r="M3" s="2"/>
      <c r="U3" s="161"/>
    </row>
    <row r="4" spans="13:21" ht="12.75">
      <c r="M4" s="2"/>
      <c r="U4" s="161"/>
    </row>
    <row r="5" spans="13:21" ht="12.75">
      <c r="M5" s="2"/>
      <c r="U5" s="161"/>
    </row>
    <row r="6" spans="2:21" ht="13.5">
      <c r="B6" s="270" t="s">
        <v>0</v>
      </c>
      <c r="C6" s="270"/>
      <c r="D6" s="270"/>
      <c r="E6" s="270"/>
      <c r="F6" s="270"/>
      <c r="G6" s="270"/>
      <c r="H6" s="270"/>
      <c r="I6" s="270"/>
      <c r="J6" s="270"/>
      <c r="K6" s="270"/>
      <c r="L6" s="3"/>
      <c r="M6" s="4"/>
      <c r="U6" s="161"/>
    </row>
    <row r="7" spans="2:21" ht="12.7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U7" s="161"/>
    </row>
    <row r="8" spans="2:21" ht="13.5" thickBo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/>
      <c r="U8" s="161"/>
    </row>
    <row r="9" spans="2:21" ht="15" customHeight="1" thickBot="1">
      <c r="B9" s="7"/>
      <c r="C9" s="271" t="s">
        <v>66</v>
      </c>
      <c r="D9" s="271"/>
      <c r="E9" s="9" t="s">
        <v>2</v>
      </c>
      <c r="F9" s="9" t="s">
        <v>3</v>
      </c>
      <c r="G9" s="9" t="s">
        <v>4</v>
      </c>
      <c r="H9" s="9" t="s">
        <v>5</v>
      </c>
      <c r="I9" s="10" t="s">
        <v>6</v>
      </c>
      <c r="J9" s="7"/>
      <c r="K9" s="7"/>
      <c r="L9" s="7"/>
      <c r="M9" s="8"/>
      <c r="U9" s="161"/>
    </row>
    <row r="10" spans="2:26" ht="15" customHeight="1" thickBot="1" thickTop="1">
      <c r="B10" s="7"/>
      <c r="C10" s="272" t="str">
        <f>'[1]Equipes-Pool'!$B$6</f>
        <v>Red Wings de Detroit</v>
      </c>
      <c r="D10" s="273"/>
      <c r="E10" s="11">
        <f>'[1]Equipes-Pool'!$C$6</f>
        <v>68</v>
      </c>
      <c r="F10" s="12">
        <f>'[1]Equipes-Pool'!$D$6</f>
        <v>97</v>
      </c>
      <c r="G10" s="12">
        <f>'[1]Equipes-Pool'!$E$6</f>
        <v>252</v>
      </c>
      <c r="H10" s="12">
        <f>'[1]Equipes-Pool'!$F$6</f>
        <v>205</v>
      </c>
      <c r="I10" s="13">
        <f>F10+(G10-H10)</f>
        <v>144</v>
      </c>
      <c r="J10" s="7"/>
      <c r="K10" s="7"/>
      <c r="L10" s="7"/>
      <c r="M10" s="8"/>
      <c r="N10" s="265" t="s">
        <v>65</v>
      </c>
      <c r="O10" s="266"/>
      <c r="P10" s="266"/>
      <c r="Q10" s="266"/>
      <c r="R10" s="267"/>
      <c r="U10" s="161"/>
      <c r="W10" s="293" t="s">
        <v>171</v>
      </c>
      <c r="X10" s="294"/>
      <c r="Y10" s="294"/>
      <c r="Z10" s="295"/>
    </row>
    <row r="11" spans="2:26" ht="15" customHeight="1" thickBot="1">
      <c r="B11" s="7"/>
      <c r="C11" s="274" t="s">
        <v>7</v>
      </c>
      <c r="D11" s="275"/>
      <c r="E11" s="14">
        <f>SUM(E10)</f>
        <v>68</v>
      </c>
      <c r="F11" s="14">
        <f>SUM(F10)</f>
        <v>97</v>
      </c>
      <c r="G11" s="14">
        <f>SUM(G10)</f>
        <v>252</v>
      </c>
      <c r="H11" s="14">
        <f>SUM(H10)</f>
        <v>205</v>
      </c>
      <c r="I11" s="15">
        <f>F11+(G11-H11)</f>
        <v>144</v>
      </c>
      <c r="J11" s="7"/>
      <c r="K11" s="7"/>
      <c r="L11" s="7"/>
      <c r="M11" s="8"/>
      <c r="N11" s="16" t="s">
        <v>8</v>
      </c>
      <c r="O11" s="17" t="s">
        <v>9</v>
      </c>
      <c r="P11" s="71" t="s">
        <v>10</v>
      </c>
      <c r="Q11" s="18" t="s">
        <v>11</v>
      </c>
      <c r="R11" s="19" t="s">
        <v>68</v>
      </c>
      <c r="U11" s="161"/>
      <c r="W11" s="152" t="s">
        <v>8</v>
      </c>
      <c r="X11" s="296" t="s">
        <v>83</v>
      </c>
      <c r="Y11" s="297"/>
      <c r="Z11" s="158" t="s">
        <v>159</v>
      </c>
    </row>
    <row r="12" spans="2:26" ht="14.25" thickTop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  <c r="N12" s="20" t="s">
        <v>12</v>
      </c>
      <c r="O12" s="21">
        <f>E11</f>
        <v>68</v>
      </c>
      <c r="P12" s="72">
        <f>I11</f>
        <v>144</v>
      </c>
      <c r="Q12" s="23">
        <f aca="true" t="shared" si="0" ref="Q12:Q18">P12/O12</f>
        <v>2.1176470588235294</v>
      </c>
      <c r="R12" s="22">
        <f>'[2]Individuel'!$D$19</f>
        <v>107.5</v>
      </c>
      <c r="U12" s="161"/>
      <c r="W12" s="155"/>
      <c r="X12" s="154" t="s">
        <v>143</v>
      </c>
      <c r="Y12" s="154" t="s">
        <v>157</v>
      </c>
      <c r="Z12" s="156"/>
    </row>
    <row r="13" spans="2:26" ht="15" customHeight="1" thickBot="1">
      <c r="B13" s="254" t="s">
        <v>13</v>
      </c>
      <c r="C13" s="254"/>
      <c r="D13" s="254"/>
      <c r="E13" s="254"/>
      <c r="F13" s="254"/>
      <c r="G13" s="254"/>
      <c r="H13" s="254"/>
      <c r="I13" s="254"/>
      <c r="J13" s="254"/>
      <c r="K13" s="254"/>
      <c r="L13" s="24"/>
      <c r="M13" s="25"/>
      <c r="N13" s="26" t="s">
        <v>14</v>
      </c>
      <c r="O13" s="27">
        <f>E19</f>
        <v>105</v>
      </c>
      <c r="P13" s="73">
        <f>K19</f>
        <v>123</v>
      </c>
      <c r="Q13" s="29">
        <f t="shared" si="0"/>
        <v>1.1714285714285715</v>
      </c>
      <c r="R13" s="28">
        <f>'[2]Individuel'!$I$19</f>
        <v>146.5</v>
      </c>
      <c r="U13" s="161"/>
      <c r="W13" s="153" t="s">
        <v>156</v>
      </c>
      <c r="X13" s="14" t="s">
        <v>153</v>
      </c>
      <c r="Y13" s="14">
        <v>1145</v>
      </c>
      <c r="Z13" s="139">
        <f>Y13</f>
        <v>1145</v>
      </c>
    </row>
    <row r="14" spans="2:26" ht="15" customHeight="1" thickBot="1">
      <c r="B14" s="30" t="s">
        <v>15</v>
      </c>
      <c r="C14" s="30" t="s">
        <v>16</v>
      </c>
      <c r="D14" s="30" t="s">
        <v>17</v>
      </c>
      <c r="E14" s="31" t="s">
        <v>2</v>
      </c>
      <c r="F14" s="31" t="s">
        <v>18</v>
      </c>
      <c r="G14" s="31" t="s">
        <v>19</v>
      </c>
      <c r="H14" s="31" t="s">
        <v>20</v>
      </c>
      <c r="I14" s="31" t="s">
        <v>21</v>
      </c>
      <c r="J14" s="31" t="s">
        <v>22</v>
      </c>
      <c r="K14" s="32" t="s">
        <v>6</v>
      </c>
      <c r="L14" s="7"/>
      <c r="M14" s="8"/>
      <c r="N14" s="26" t="s">
        <v>23</v>
      </c>
      <c r="O14" s="27">
        <f>E35</f>
        <v>505</v>
      </c>
      <c r="P14" s="73">
        <f>H35</f>
        <v>316</v>
      </c>
      <c r="Q14" s="29">
        <f t="shared" si="0"/>
        <v>0.6257425742574257</v>
      </c>
      <c r="R14" s="28">
        <f>'[2]Individuel'!$N$19</f>
        <v>391.4</v>
      </c>
      <c r="U14" s="161"/>
      <c r="W14" s="49" t="s">
        <v>105</v>
      </c>
      <c r="X14" s="324" t="s">
        <v>118</v>
      </c>
      <c r="Y14" s="325"/>
      <c r="Z14" s="139">
        <f aca="true" t="shared" si="1" ref="Z14:Z28">Y14</f>
        <v>0</v>
      </c>
    </row>
    <row r="15" spans="2:26" ht="15" customHeight="1" thickTop="1">
      <c r="B15" s="108">
        <f>'[1]Pool-gardien'!$B$18</f>
        <v>33.54794520547945</v>
      </c>
      <c r="C15" s="108" t="str">
        <f>'[1]Pool-gardien'!$C$18</f>
        <v>Chi</v>
      </c>
      <c r="D15" s="110" t="str">
        <f>'[1]Pool-gardien'!$D$18</f>
        <v>Cristobal Huet</v>
      </c>
      <c r="E15" s="108">
        <f>('[1]Pool-gardien'!$E$18)-29</f>
        <v>8</v>
      </c>
      <c r="F15" s="108">
        <f>('[1]Pool-gardien'!$F$18)-16</f>
        <v>3</v>
      </c>
      <c r="G15" s="108">
        <f>('[1]Pool-gardien'!$G$18)-2</f>
        <v>1</v>
      </c>
      <c r="H15" s="108">
        <f>('[1]Pool-gardien'!$H$18)-3</f>
        <v>0</v>
      </c>
      <c r="I15" s="108">
        <f>('[1]Pool-gardien'!$I$18)-0</f>
        <v>0</v>
      </c>
      <c r="J15" s="108">
        <f>('[1]Pool-gardien'!$J$18)-0</f>
        <v>0</v>
      </c>
      <c r="K15" s="33">
        <f>(F15*2)+G15+(H15*4)+(I15*10)+J15</f>
        <v>7</v>
      </c>
      <c r="L15" s="7"/>
      <c r="M15" s="8"/>
      <c r="N15" s="26" t="s">
        <v>24</v>
      </c>
      <c r="O15" s="27">
        <f>E46</f>
        <v>254</v>
      </c>
      <c r="P15" s="73">
        <f>H46</f>
        <v>213</v>
      </c>
      <c r="Q15" s="29">
        <f t="shared" si="0"/>
        <v>0.8385826771653543</v>
      </c>
      <c r="R15" s="28">
        <f>'[2]Individuel'!$D$33</f>
        <v>232.7</v>
      </c>
      <c r="U15" s="161"/>
      <c r="W15" s="49" t="s">
        <v>166</v>
      </c>
      <c r="X15" s="73" t="s">
        <v>95</v>
      </c>
      <c r="Y15" s="43">
        <v>188</v>
      </c>
      <c r="Z15" s="139">
        <f t="shared" si="1"/>
        <v>188</v>
      </c>
    </row>
    <row r="16" spans="2:26" ht="15" customHeight="1">
      <c r="B16" s="108">
        <f>'[1]Pool-gardien'!$B$17</f>
        <v>31.835616438356166</v>
      </c>
      <c r="C16" s="108" t="str">
        <f>'[1]Pool-gardien'!$C$17</f>
        <v>Tor</v>
      </c>
      <c r="D16" s="110" t="str">
        <f>'[1]Pool-gardien'!$D$17</f>
        <v>Vesa Toskala</v>
      </c>
      <c r="E16" s="108">
        <f>('[1]Pool-gardien'!$E$17)-9</f>
        <v>44</v>
      </c>
      <c r="F16" s="108">
        <f>('[1]Pool-gardien'!$F$17)-4</f>
        <v>18</v>
      </c>
      <c r="G16" s="108">
        <f>('[1]Pool-gardien'!$G$17)-2</f>
        <v>9</v>
      </c>
      <c r="H16" s="108">
        <f>('[1]Pool-gardien'!$H$17)-1</f>
        <v>0</v>
      </c>
      <c r="I16" s="108">
        <f>('[1]Pool-gardien'!$I$17)-0</f>
        <v>0</v>
      </c>
      <c r="J16" s="108">
        <f>('[1]Pool-gardien'!$J$17)-0</f>
        <v>0</v>
      </c>
      <c r="K16" s="33">
        <f>(F16*2)+G16+(H16*4)+(I16*10)+J16</f>
        <v>45</v>
      </c>
      <c r="L16" s="7"/>
      <c r="M16" s="8"/>
      <c r="N16" s="26" t="s">
        <v>25</v>
      </c>
      <c r="O16" s="27">
        <f>E58</f>
        <v>383</v>
      </c>
      <c r="P16" s="73">
        <f>H58</f>
        <v>165</v>
      </c>
      <c r="Q16" s="29">
        <f t="shared" si="0"/>
        <v>0.4308093994778068</v>
      </c>
      <c r="R16" s="28">
        <f>'[2]Individuel'!$I$33</f>
        <v>193.3</v>
      </c>
      <c r="U16" s="161"/>
      <c r="W16" s="49" t="s">
        <v>14</v>
      </c>
      <c r="X16" s="43" t="s">
        <v>153</v>
      </c>
      <c r="Y16" s="43">
        <v>128</v>
      </c>
      <c r="Z16" s="139">
        <f t="shared" si="1"/>
        <v>128</v>
      </c>
    </row>
    <row r="17" spans="2:26" ht="15" customHeight="1" thickBot="1">
      <c r="B17" s="185">
        <f>'[1]Pool-gardien'!$B$27</f>
        <v>28.75068493150685</v>
      </c>
      <c r="C17" s="185" t="str">
        <f>'[1]Pool-gardien'!$C$27</f>
        <v>Nsh</v>
      </c>
      <c r="D17" s="186" t="str">
        <f>'[1]Pool-gardien'!$D$27</f>
        <v>Dan Ellis</v>
      </c>
      <c r="E17" s="189">
        <v>1</v>
      </c>
      <c r="F17" s="189">
        <v>0</v>
      </c>
      <c r="G17" s="189">
        <v>0</v>
      </c>
      <c r="H17" s="189">
        <v>0</v>
      </c>
      <c r="I17" s="189">
        <v>0</v>
      </c>
      <c r="J17" s="189">
        <v>0</v>
      </c>
      <c r="K17" s="203">
        <f>(F17*2)+G17+(H17*4)+(I17*10)+J17</f>
        <v>0</v>
      </c>
      <c r="L17" s="7"/>
      <c r="M17" s="8"/>
      <c r="N17" s="38" t="s">
        <v>27</v>
      </c>
      <c r="O17" s="117">
        <f>E72</f>
        <v>71</v>
      </c>
      <c r="P17" s="74">
        <f>H72</f>
        <v>32</v>
      </c>
      <c r="Q17" s="41">
        <f t="shared" si="0"/>
        <v>0.4507042253521127</v>
      </c>
      <c r="R17" s="40">
        <f>'[2]Individuel'!$N$33</f>
        <v>63.8</v>
      </c>
      <c r="U17" s="161"/>
      <c r="W17" s="49" t="s">
        <v>84</v>
      </c>
      <c r="X17" s="43" t="s">
        <v>153</v>
      </c>
      <c r="Y17" s="43">
        <v>358</v>
      </c>
      <c r="Z17" s="139">
        <f t="shared" si="1"/>
        <v>358</v>
      </c>
    </row>
    <row r="18" spans="2:26" ht="15" customHeight="1" thickBot="1">
      <c r="B18" s="189">
        <f>'[1]Pool-gardien'!$B$19</f>
        <v>33.605479452054794</v>
      </c>
      <c r="C18" s="189" t="str">
        <f>'[1]Pool-gardien'!$C$19</f>
        <v>Dal</v>
      </c>
      <c r="D18" s="190" t="str">
        <f>'[1]Pool-gardien'!$D$19</f>
        <v>Marty Turco</v>
      </c>
      <c r="E18" s="204">
        <v>52</v>
      </c>
      <c r="F18" s="204">
        <v>26</v>
      </c>
      <c r="G18" s="204">
        <v>7</v>
      </c>
      <c r="H18" s="204">
        <v>2</v>
      </c>
      <c r="I18" s="204">
        <v>0</v>
      </c>
      <c r="J18" s="204">
        <v>4</v>
      </c>
      <c r="K18" s="197">
        <f>(F18*2)+G18+(H18*4)+(I18*10)+J18</f>
        <v>71</v>
      </c>
      <c r="L18" s="7"/>
      <c r="M18" s="8"/>
      <c r="N18" s="42" t="s">
        <v>28</v>
      </c>
      <c r="O18" s="22">
        <f>SUM(O12:O17)</f>
        <v>1386</v>
      </c>
      <c r="P18" s="75">
        <f>SUM(P12:P17)</f>
        <v>993</v>
      </c>
      <c r="Q18" s="23">
        <f t="shared" si="0"/>
        <v>0.7164502164502164</v>
      </c>
      <c r="R18" s="22">
        <f>'[2]Classement'!$C$20</f>
        <v>1135.2</v>
      </c>
      <c r="U18" s="161"/>
      <c r="W18" s="49" t="s">
        <v>24</v>
      </c>
      <c r="X18" s="43" t="s">
        <v>150</v>
      </c>
      <c r="Y18" s="43">
        <v>268</v>
      </c>
      <c r="Z18" s="139">
        <f t="shared" si="1"/>
        <v>268</v>
      </c>
    </row>
    <row r="19" spans="2:26" ht="15" customHeight="1" thickBot="1">
      <c r="B19" s="274" t="s">
        <v>26</v>
      </c>
      <c r="C19" s="275"/>
      <c r="D19" s="255"/>
      <c r="E19" s="14">
        <f aca="true" t="shared" si="2" ref="E19:J19">SUM(E15:E18)</f>
        <v>105</v>
      </c>
      <c r="F19" s="14">
        <f t="shared" si="2"/>
        <v>47</v>
      </c>
      <c r="G19" s="14">
        <f t="shared" si="2"/>
        <v>17</v>
      </c>
      <c r="H19" s="14">
        <f t="shared" si="2"/>
        <v>2</v>
      </c>
      <c r="I19" s="14">
        <f t="shared" si="2"/>
        <v>0</v>
      </c>
      <c r="J19" s="14">
        <f t="shared" si="2"/>
        <v>4</v>
      </c>
      <c r="K19" s="33">
        <f>(F19*2)+G19+(H19*4)+(I19*10)+J19</f>
        <v>123</v>
      </c>
      <c r="L19" s="7"/>
      <c r="M19" s="8"/>
      <c r="U19" s="161"/>
      <c r="W19" s="49" t="s">
        <v>25</v>
      </c>
      <c r="X19" s="43" t="s">
        <v>153</v>
      </c>
      <c r="Y19" s="43">
        <v>180</v>
      </c>
      <c r="Z19" s="139">
        <f t="shared" si="1"/>
        <v>180</v>
      </c>
    </row>
    <row r="20" spans="2:26" ht="15" customHeight="1">
      <c r="B20" s="5"/>
      <c r="C20" s="5"/>
      <c r="D20" s="5"/>
      <c r="E20" s="7"/>
      <c r="F20" s="7"/>
      <c r="G20" s="7"/>
      <c r="H20" s="7"/>
      <c r="I20" s="7"/>
      <c r="J20" s="7"/>
      <c r="K20" s="7"/>
      <c r="L20" s="7"/>
      <c r="M20" s="8"/>
      <c r="N20" s="265" t="s">
        <v>64</v>
      </c>
      <c r="O20" s="266"/>
      <c r="P20" s="266"/>
      <c r="Q20" s="266"/>
      <c r="R20" s="267"/>
      <c r="U20" s="161"/>
      <c r="W20" s="49" t="s">
        <v>85</v>
      </c>
      <c r="X20" s="43" t="s">
        <v>153</v>
      </c>
      <c r="Y20" s="43">
        <v>23</v>
      </c>
      <c r="Z20" s="139">
        <f t="shared" si="1"/>
        <v>23</v>
      </c>
    </row>
    <row r="21" spans="2:26" ht="15" customHeight="1" thickBot="1">
      <c r="B21" s="256" t="s">
        <v>23</v>
      </c>
      <c r="C21" s="257"/>
      <c r="D21" s="257"/>
      <c r="E21" s="257"/>
      <c r="F21" s="257"/>
      <c r="G21" s="257"/>
      <c r="H21" s="257"/>
      <c r="I21" s="258"/>
      <c r="J21" s="7"/>
      <c r="K21" s="7"/>
      <c r="L21" s="7"/>
      <c r="M21" s="8"/>
      <c r="N21" s="16" t="s">
        <v>8</v>
      </c>
      <c r="O21" s="17" t="s">
        <v>9</v>
      </c>
      <c r="P21" s="71" t="s">
        <v>10</v>
      </c>
      <c r="Q21" s="18" t="s">
        <v>11</v>
      </c>
      <c r="R21" s="19" t="s">
        <v>68</v>
      </c>
      <c r="U21" s="161"/>
      <c r="W21" s="49" t="s">
        <v>21</v>
      </c>
      <c r="X21" s="43" t="s">
        <v>153</v>
      </c>
      <c r="Y21" s="43">
        <v>308</v>
      </c>
      <c r="Z21" s="139">
        <f t="shared" si="1"/>
        <v>308</v>
      </c>
    </row>
    <row r="22" spans="2:26" ht="15" customHeight="1" thickBot="1" thickTop="1">
      <c r="B22" s="30" t="s">
        <v>15</v>
      </c>
      <c r="C22" s="30" t="s">
        <v>29</v>
      </c>
      <c r="D22" s="30" t="s">
        <v>17</v>
      </c>
      <c r="E22" s="31" t="s">
        <v>2</v>
      </c>
      <c r="F22" s="31" t="s">
        <v>21</v>
      </c>
      <c r="G22" s="31" t="s">
        <v>30</v>
      </c>
      <c r="H22" s="32" t="s">
        <v>6</v>
      </c>
      <c r="I22" s="31" t="s">
        <v>11</v>
      </c>
      <c r="J22" s="7"/>
      <c r="K22" s="7"/>
      <c r="L22" s="7"/>
      <c r="M22" s="8"/>
      <c r="N22" s="20" t="s">
        <v>31</v>
      </c>
      <c r="O22" s="27">
        <f>E78</f>
        <v>68</v>
      </c>
      <c r="P22" s="73">
        <f>I78</f>
        <v>55</v>
      </c>
      <c r="Q22" s="29">
        <f>P22/O22</f>
        <v>0.8088235294117647</v>
      </c>
      <c r="R22" s="63"/>
      <c r="U22" s="161"/>
      <c r="W22" s="49" t="s">
        <v>30</v>
      </c>
      <c r="X22" s="43" t="s">
        <v>153</v>
      </c>
      <c r="Y22" s="43">
        <v>521</v>
      </c>
      <c r="Z22" s="139">
        <f t="shared" si="1"/>
        <v>521</v>
      </c>
    </row>
    <row r="23" spans="2:26" ht="15" customHeight="1" thickTop="1">
      <c r="B23" s="107">
        <f>'[1]POOL-joueus'!$B$10</f>
        <v>28.443835616438356</v>
      </c>
      <c r="C23" s="107" t="str">
        <f>'[1]POOL-joueus'!$C$10</f>
        <v>Det</v>
      </c>
      <c r="D23" s="124" t="str">
        <f>'[1]POOL-joueus'!$D$10</f>
        <v>Henrik Zetterberg</v>
      </c>
      <c r="E23" s="107">
        <f>'[1]POOL-joueus'!$E$10</f>
        <v>63</v>
      </c>
      <c r="F23" s="107">
        <f>'[1]POOL-joueus'!$F$10</f>
        <v>27</v>
      </c>
      <c r="G23" s="107">
        <f>'[1]POOL-joueus'!$G$10</f>
        <v>33</v>
      </c>
      <c r="H23" s="44">
        <f aca="true" t="shared" si="3" ref="H23:H35">SUM(F23:G23)</f>
        <v>60</v>
      </c>
      <c r="I23" s="45">
        <f aca="true" t="shared" si="4" ref="I23:I35">H23/E23</f>
        <v>0.9523809523809523</v>
      </c>
      <c r="J23" s="7"/>
      <c r="K23" s="7"/>
      <c r="L23" s="7"/>
      <c r="M23" s="8"/>
      <c r="N23" s="26" t="s">
        <v>32</v>
      </c>
      <c r="O23" s="27">
        <f>E87</f>
        <v>69</v>
      </c>
      <c r="P23" s="73">
        <f>K87</f>
        <v>88</v>
      </c>
      <c r="Q23" s="29">
        <f aca="true" t="shared" si="5" ref="Q23:Q28">P23/O23</f>
        <v>1.2753623188405796</v>
      </c>
      <c r="R23" s="63"/>
      <c r="U23" s="161"/>
      <c r="W23" s="49" t="s">
        <v>86</v>
      </c>
      <c r="X23" s="43" t="s">
        <v>153</v>
      </c>
      <c r="Y23" s="43">
        <v>829</v>
      </c>
      <c r="Z23" s="139">
        <f t="shared" si="1"/>
        <v>829</v>
      </c>
    </row>
    <row r="24" spans="2:26" ht="15" customHeight="1">
      <c r="B24" s="107">
        <f>'[1]POOL-joueus'!$B$205</f>
        <v>28.71232876712329</v>
      </c>
      <c r="C24" s="107" t="str">
        <f>'[1]POOL-joueus'!$C$205</f>
        <v>Min</v>
      </c>
      <c r="D24" s="124" t="str">
        <f>'[1]POOL-joueus'!$D$205</f>
        <v>Antti Miettinen</v>
      </c>
      <c r="E24" s="107">
        <f>'[1]POOL-joueus'!$E$205</f>
        <v>67</v>
      </c>
      <c r="F24" s="107">
        <f>'[1]POOL-joueus'!$F$205</f>
        <v>14</v>
      </c>
      <c r="G24" s="107">
        <f>'[1]POOL-joueus'!$G$205</f>
        <v>27</v>
      </c>
      <c r="H24" s="44">
        <f t="shared" si="3"/>
        <v>41</v>
      </c>
      <c r="I24" s="45">
        <f t="shared" si="4"/>
        <v>0.6119402985074627</v>
      </c>
      <c r="J24" s="7"/>
      <c r="K24" s="7"/>
      <c r="L24" s="7"/>
      <c r="M24" s="8"/>
      <c r="N24" s="26" t="s">
        <v>33</v>
      </c>
      <c r="O24" s="27">
        <f>E97</f>
        <v>157</v>
      </c>
      <c r="P24" s="73">
        <f>H97</f>
        <v>73</v>
      </c>
      <c r="Q24" s="29">
        <f t="shared" si="5"/>
        <v>0.46496815286624205</v>
      </c>
      <c r="R24" s="63"/>
      <c r="U24" s="161"/>
      <c r="W24" s="49" t="s">
        <v>87</v>
      </c>
      <c r="X24" s="43" t="s">
        <v>148</v>
      </c>
      <c r="Y24" s="43">
        <v>546</v>
      </c>
      <c r="Z24" s="139">
        <f t="shared" si="1"/>
        <v>546</v>
      </c>
    </row>
    <row r="25" spans="2:26" ht="15" customHeight="1">
      <c r="B25" s="109">
        <f>'[1]POOL-joueus'!$B$195</f>
        <v>28.947945205479453</v>
      </c>
      <c r="C25" s="109" t="str">
        <f>'[1]POOL-joueus'!$C$195</f>
        <v>Tor</v>
      </c>
      <c r="D25" s="111" t="str">
        <f>'[1]POOL-joueus'!$D$195</f>
        <v>Alexei Ponikarovsky</v>
      </c>
      <c r="E25" s="109">
        <f>'[1]POOL-joueus'!$E$195</f>
        <v>69</v>
      </c>
      <c r="F25" s="109">
        <f>'[1]POOL-joueus'!$F$195</f>
        <v>19</v>
      </c>
      <c r="G25" s="109">
        <f>'[1]POOL-joueus'!$G$195</f>
        <v>25</v>
      </c>
      <c r="H25" s="44">
        <f t="shared" si="3"/>
        <v>44</v>
      </c>
      <c r="I25" s="45">
        <f t="shared" si="4"/>
        <v>0.6376811594202898</v>
      </c>
      <c r="J25" s="7"/>
      <c r="K25" s="7"/>
      <c r="L25" s="7"/>
      <c r="M25" s="8"/>
      <c r="N25" s="26" t="s">
        <v>34</v>
      </c>
      <c r="O25" s="27">
        <f>E110</f>
        <v>340</v>
      </c>
      <c r="P25" s="73">
        <f>H110</f>
        <v>201</v>
      </c>
      <c r="Q25" s="29">
        <f t="shared" si="5"/>
        <v>0.5911764705882353</v>
      </c>
      <c r="R25" s="63"/>
      <c r="U25" s="161"/>
      <c r="W25" s="49" t="s">
        <v>112</v>
      </c>
      <c r="X25" s="43" t="s">
        <v>153</v>
      </c>
      <c r="Y25" s="43">
        <v>43</v>
      </c>
      <c r="Z25" s="139">
        <f t="shared" si="1"/>
        <v>43</v>
      </c>
    </row>
    <row r="26" spans="2:26" ht="15" customHeight="1">
      <c r="B26" s="107">
        <f>'[1]POOL-joueus'!$B$49</f>
        <v>30.35890410958904</v>
      </c>
      <c r="C26" s="107" t="str">
        <f>'[1]POOL-joueus'!$C$49</f>
        <v>Cbj</v>
      </c>
      <c r="D26" s="124" t="str">
        <f>'[1]POOL-joueus'!$D$49</f>
        <v>Kristian Huselius</v>
      </c>
      <c r="E26" s="107">
        <f>'[1]POOL-joueus'!$E$49</f>
        <v>64</v>
      </c>
      <c r="F26" s="107">
        <f>'[1]POOL-joueus'!$F$49</f>
        <v>19</v>
      </c>
      <c r="G26" s="107">
        <f>'[1]POOL-joueus'!$G$49</f>
        <v>28</v>
      </c>
      <c r="H26" s="44">
        <f t="shared" si="3"/>
        <v>47</v>
      </c>
      <c r="I26" s="45">
        <f t="shared" si="4"/>
        <v>0.734375</v>
      </c>
      <c r="J26" s="7"/>
      <c r="K26" s="7"/>
      <c r="L26" s="7"/>
      <c r="M26" s="8"/>
      <c r="N26" s="26" t="s">
        <v>35</v>
      </c>
      <c r="O26" s="27">
        <f>E120</f>
        <v>234</v>
      </c>
      <c r="P26" s="73">
        <f>H120</f>
        <v>50</v>
      </c>
      <c r="Q26" s="29">
        <f t="shared" si="5"/>
        <v>0.21367521367521367</v>
      </c>
      <c r="R26" s="63"/>
      <c r="U26" s="161"/>
      <c r="W26" s="49" t="s">
        <v>88</v>
      </c>
      <c r="X26" s="43" t="s">
        <v>151</v>
      </c>
      <c r="Y26" s="43">
        <v>7</v>
      </c>
      <c r="Z26" s="139">
        <f t="shared" si="1"/>
        <v>7</v>
      </c>
    </row>
    <row r="27" spans="2:26" ht="15" customHeight="1" thickBot="1">
      <c r="B27" s="106">
        <f>'[1]POOL-joueus'!$B$229</f>
        <v>28.96986301369863</v>
      </c>
      <c r="C27" s="106" t="str">
        <f>'[1]POOL-joueus'!$C$229</f>
        <v>Bos</v>
      </c>
      <c r="D27" s="126" t="str">
        <f>'[1]POOL-joueus'!$D$229</f>
        <v>Michael Ryder</v>
      </c>
      <c r="E27" s="106">
        <f>'[1]POOL-joueus'!$E$229</f>
        <v>61</v>
      </c>
      <c r="F27" s="106">
        <f>'[1]POOL-joueus'!$F$229</f>
        <v>23</v>
      </c>
      <c r="G27" s="106">
        <f>'[1]POOL-joueus'!$G$229</f>
        <v>20</v>
      </c>
      <c r="H27" s="44">
        <f t="shared" si="3"/>
        <v>43</v>
      </c>
      <c r="I27" s="45">
        <f t="shared" si="4"/>
        <v>0.7049180327868853</v>
      </c>
      <c r="J27" s="7"/>
      <c r="K27" s="7"/>
      <c r="L27" s="7"/>
      <c r="M27" s="8"/>
      <c r="N27" s="38" t="s">
        <v>36</v>
      </c>
      <c r="O27" s="117">
        <f>E133</f>
        <v>10</v>
      </c>
      <c r="P27" s="74">
        <f>H133</f>
        <v>6</v>
      </c>
      <c r="Q27" s="41">
        <f t="shared" si="5"/>
        <v>0.6</v>
      </c>
      <c r="R27" s="64"/>
      <c r="U27" s="161"/>
      <c r="W27" s="49" t="s">
        <v>160</v>
      </c>
      <c r="X27" s="43" t="s">
        <v>153</v>
      </c>
      <c r="Y27" s="43">
        <v>10</v>
      </c>
      <c r="Z27" s="139">
        <f t="shared" si="1"/>
        <v>10</v>
      </c>
    </row>
    <row r="28" spans="2:26" ht="15" customHeight="1">
      <c r="B28" s="107">
        <f>'[1]POOL-joueus'!$B$93</f>
        <v>34.0986301369863</v>
      </c>
      <c r="C28" s="107" t="str">
        <f>'[1]POOL-joueus'!$C$93</f>
        <v>Wsh</v>
      </c>
      <c r="D28" s="124" t="str">
        <f>'[1]POOL-joueus'!$D$93</f>
        <v>Viktor Kozlov</v>
      </c>
      <c r="E28" s="107">
        <f>'[1]POOL-joueus'!$E$93</f>
        <v>53</v>
      </c>
      <c r="F28" s="107">
        <f>'[1]POOL-joueus'!$F$93</f>
        <v>11</v>
      </c>
      <c r="G28" s="107">
        <f>'[1]POOL-joueus'!$G$93</f>
        <v>22</v>
      </c>
      <c r="H28" s="44">
        <f t="shared" si="3"/>
        <v>33</v>
      </c>
      <c r="I28" s="45">
        <f t="shared" si="4"/>
        <v>0.6226415094339622</v>
      </c>
      <c r="J28" s="7"/>
      <c r="K28" s="7"/>
      <c r="L28" s="7"/>
      <c r="M28" s="8"/>
      <c r="N28" s="42" t="s">
        <v>37</v>
      </c>
      <c r="O28" s="22">
        <f>SUM(O22:O27)</f>
        <v>878</v>
      </c>
      <c r="P28" s="72">
        <f>SUM(P22:P27)</f>
        <v>473</v>
      </c>
      <c r="Q28" s="23">
        <f t="shared" si="5"/>
        <v>0.5387243735763098</v>
      </c>
      <c r="R28" s="22">
        <f>'[2]Individuel'!$I$61</f>
        <v>420.7</v>
      </c>
      <c r="U28" s="161"/>
      <c r="W28" s="49" t="s">
        <v>161</v>
      </c>
      <c r="X28" s="43" t="s">
        <v>153</v>
      </c>
      <c r="Y28" s="43">
        <v>20</v>
      </c>
      <c r="Z28" s="139">
        <f t="shared" si="1"/>
        <v>20</v>
      </c>
    </row>
    <row r="29" spans="2:26" ht="15" customHeight="1" thickBot="1">
      <c r="B29" s="109">
        <f>'[1]POOL-joueus'!$B$121</f>
        <v>26.473972602739725</v>
      </c>
      <c r="C29" s="109" t="str">
        <f>'[1]POOL-joueus'!$C$121</f>
        <v>Edm</v>
      </c>
      <c r="D29" s="111" t="str">
        <f>'[1]POOL-joueus'!$D$121</f>
        <v>Justin Penner</v>
      </c>
      <c r="E29" s="109">
        <f>'[1]POOL-joueus'!$E$121</f>
        <v>64</v>
      </c>
      <c r="F29" s="109">
        <f>'[1]POOL-joueus'!$F$121</f>
        <v>14</v>
      </c>
      <c r="G29" s="109">
        <f>'[1]POOL-joueus'!$G$121</f>
        <v>15</v>
      </c>
      <c r="H29" s="44">
        <f t="shared" si="3"/>
        <v>29</v>
      </c>
      <c r="I29" s="45">
        <f t="shared" si="4"/>
        <v>0.453125</v>
      </c>
      <c r="J29" s="7"/>
      <c r="K29" s="7"/>
      <c r="L29" s="7"/>
      <c r="M29" s="8"/>
      <c r="U29" s="161"/>
      <c r="W29" s="49" t="s">
        <v>165</v>
      </c>
      <c r="X29" s="43" t="s">
        <v>153</v>
      </c>
      <c r="Y29" s="43">
        <v>29.9</v>
      </c>
      <c r="Z29" s="160"/>
    </row>
    <row r="30" spans="2:26" ht="15" customHeight="1">
      <c r="B30" s="109">
        <f>'[1]POOL-joueus'!$B$196</f>
        <v>26.32054794520548</v>
      </c>
      <c r="C30" s="109" t="str">
        <f>'[1]POOL-joueus'!$C$196</f>
        <v>Atl</v>
      </c>
      <c r="D30" s="111" t="str">
        <f>'[1]POOL-joueus'!$D$196</f>
        <v>Colby Armstrong</v>
      </c>
      <c r="E30" s="109">
        <f>('[1]POOL-joueus'!$E$196)-54</f>
        <v>14</v>
      </c>
      <c r="F30" s="109">
        <f>('[1]POOL-joueus'!$F$196)-14</f>
        <v>2</v>
      </c>
      <c r="G30" s="109">
        <f>('[1]POOL-joueus'!$G$196)-10</f>
        <v>0</v>
      </c>
      <c r="H30" s="44">
        <f>SUM(F30:G30)</f>
        <v>2</v>
      </c>
      <c r="I30" s="45">
        <f>H30/E30</f>
        <v>0.14285714285714285</v>
      </c>
      <c r="J30" s="7"/>
      <c r="K30" s="7"/>
      <c r="L30" s="7"/>
      <c r="M30" s="8"/>
      <c r="N30" s="265" t="s">
        <v>60</v>
      </c>
      <c r="O30" s="266"/>
      <c r="P30" s="266"/>
      <c r="Q30" s="266"/>
      <c r="R30" s="267"/>
      <c r="U30" s="161"/>
      <c r="W30" s="159"/>
      <c r="X30" s="298" t="s">
        <v>81</v>
      </c>
      <c r="Y30" s="299"/>
      <c r="Z30" s="160"/>
    </row>
    <row r="31" spans="1:26" ht="15" customHeight="1" thickBot="1">
      <c r="A31" s="1" t="s">
        <v>237</v>
      </c>
      <c r="B31" s="183">
        <f>'[1]POOL-joueus'!$B$453</f>
        <v>22.4027397260274</v>
      </c>
      <c r="C31" s="183" t="str">
        <f>'[1]POOL-joueus'!$C$453</f>
        <v>Mtl</v>
      </c>
      <c r="D31" s="184" t="str">
        <f>'[1]POOL-joueus'!$D$453</f>
        <v>Matt D'Agostini</v>
      </c>
      <c r="E31" s="183">
        <v>28</v>
      </c>
      <c r="F31" s="183">
        <v>7</v>
      </c>
      <c r="G31" s="183">
        <v>3</v>
      </c>
      <c r="H31" s="187">
        <f>SUM(F31:G31)</f>
        <v>10</v>
      </c>
      <c r="I31" s="188">
        <f>H31/E31</f>
        <v>0.35714285714285715</v>
      </c>
      <c r="J31" s="7"/>
      <c r="K31" s="7"/>
      <c r="L31" s="7"/>
      <c r="M31" s="8"/>
      <c r="N31" s="16" t="s">
        <v>8</v>
      </c>
      <c r="O31" s="17" t="s">
        <v>9</v>
      </c>
      <c r="P31" s="17" t="s">
        <v>62</v>
      </c>
      <c r="Q31" s="18" t="s">
        <v>11</v>
      </c>
      <c r="R31" s="19" t="s">
        <v>68</v>
      </c>
      <c r="U31" s="161"/>
      <c r="W31" s="49" t="s">
        <v>167</v>
      </c>
      <c r="X31" s="259">
        <v>0</v>
      </c>
      <c r="Y31" s="260"/>
      <c r="Z31" s="140">
        <f>SUM(X31:Y31)</f>
        <v>0</v>
      </c>
    </row>
    <row r="32" spans="2:26" ht="15" customHeight="1" thickTop="1">
      <c r="B32" s="183">
        <f>'[1]POOL-joueus'!$B$238</f>
        <v>29.884931506849316</v>
      </c>
      <c r="C32" s="183" t="str">
        <f>'[1]POOL-joueus'!$C$238</f>
        <v>Cbj</v>
      </c>
      <c r="D32" s="184" t="str">
        <f>'[1]POOL-joueus'!$D$238</f>
        <v>Jason Chimera</v>
      </c>
      <c r="E32" s="183">
        <v>14</v>
      </c>
      <c r="F32" s="183">
        <v>2</v>
      </c>
      <c r="G32" s="183">
        <v>5</v>
      </c>
      <c r="H32" s="187">
        <f>SUM(F32:G32)</f>
        <v>7</v>
      </c>
      <c r="I32" s="188">
        <f>H32/E32</f>
        <v>0.5</v>
      </c>
      <c r="J32" s="7"/>
      <c r="K32" s="7"/>
      <c r="L32" s="7"/>
      <c r="M32" s="8"/>
      <c r="N32" s="20" t="s">
        <v>21</v>
      </c>
      <c r="O32" s="69"/>
      <c r="P32" s="22">
        <f>F35+F46+F58+F70</f>
        <v>282</v>
      </c>
      <c r="Q32" s="23">
        <f>P32/O34</f>
        <v>0.23248145094806266</v>
      </c>
      <c r="R32" s="22">
        <f>'[2]Individuel'!$D$47</f>
        <v>320.7</v>
      </c>
      <c r="U32" s="161"/>
      <c r="W32" s="49" t="s">
        <v>168</v>
      </c>
      <c r="X32" s="259">
        <v>2</v>
      </c>
      <c r="Y32" s="260"/>
      <c r="Z32" s="140">
        <f>SUM(X32:Y32)</f>
        <v>2</v>
      </c>
    </row>
    <row r="33" spans="2:26" ht="15" customHeight="1">
      <c r="B33" s="183">
        <f>'[1]POOL-joueus'!$B$775</f>
        <v>24.315068493150687</v>
      </c>
      <c r="C33" s="183" t="str">
        <f>'[1]POOL-joueus'!$C$775</f>
        <v>Fla</v>
      </c>
      <c r="D33" s="184" t="str">
        <f>'[1]POOL-joueus'!$D$775</f>
        <v>David Booth</v>
      </c>
      <c r="E33" s="183">
        <v>8</v>
      </c>
      <c r="F33" s="183">
        <v>0</v>
      </c>
      <c r="G33" s="183">
        <v>0</v>
      </c>
      <c r="H33" s="187">
        <f t="shared" si="3"/>
        <v>0</v>
      </c>
      <c r="I33" s="188">
        <f t="shared" si="4"/>
        <v>0</v>
      </c>
      <c r="J33" s="7"/>
      <c r="K33" s="7"/>
      <c r="L33" s="7"/>
      <c r="M33" s="8"/>
      <c r="N33" s="26" t="s">
        <v>30</v>
      </c>
      <c r="O33" s="69"/>
      <c r="P33" s="28">
        <f>G35+G46+G58+G70</f>
        <v>444</v>
      </c>
      <c r="Q33" s="29">
        <f>P33/O34</f>
        <v>0.3660346248969497</v>
      </c>
      <c r="R33" s="28">
        <f>'[2]Individuel'!$I$47</f>
        <v>539.3</v>
      </c>
      <c r="U33" s="161"/>
      <c r="W33" s="49" t="s">
        <v>89</v>
      </c>
      <c r="X33" s="259">
        <v>0</v>
      </c>
      <c r="Y33" s="260"/>
      <c r="Z33" s="140">
        <f>SUM(X33:Y33)</f>
        <v>0</v>
      </c>
    </row>
    <row r="34" spans="2:26" ht="15" customHeight="1" thickBot="1">
      <c r="B34" s="107"/>
      <c r="C34" s="107"/>
      <c r="D34" s="124"/>
      <c r="E34" s="123"/>
      <c r="F34" s="123"/>
      <c r="G34" s="123"/>
      <c r="H34" s="37">
        <f t="shared" si="3"/>
        <v>0</v>
      </c>
      <c r="I34" s="46" t="e">
        <f t="shared" si="4"/>
        <v>#DIV/0!</v>
      </c>
      <c r="J34" s="7"/>
      <c r="K34" s="7"/>
      <c r="L34" s="7"/>
      <c r="M34" s="8"/>
      <c r="N34" s="26" t="s">
        <v>55</v>
      </c>
      <c r="O34" s="27">
        <f>E35+E46+E58+E70</f>
        <v>1213</v>
      </c>
      <c r="P34" s="28">
        <f>SUM(P32:P33)</f>
        <v>726</v>
      </c>
      <c r="Q34" s="29">
        <f>P34/O34</f>
        <v>0.5985160758450123</v>
      </c>
      <c r="R34" s="28">
        <f>'[2]Individuel'!$N$47</f>
        <v>860</v>
      </c>
      <c r="U34" s="161"/>
      <c r="W34" s="49" t="s">
        <v>194</v>
      </c>
      <c r="X34" s="259">
        <v>0</v>
      </c>
      <c r="Y34" s="260"/>
      <c r="Z34" s="140">
        <f>X34</f>
        <v>0</v>
      </c>
    </row>
    <row r="35" spans="2:26" ht="15" customHeight="1">
      <c r="B35" s="274" t="s">
        <v>26</v>
      </c>
      <c r="C35" s="275"/>
      <c r="D35" s="255"/>
      <c r="E35" s="14">
        <f>SUM(E23:E34)</f>
        <v>505</v>
      </c>
      <c r="F35" s="14">
        <f>SUM(F23:F34)</f>
        <v>138</v>
      </c>
      <c r="G35" s="14">
        <f>SUM(G23:G34)</f>
        <v>178</v>
      </c>
      <c r="H35" s="33">
        <f t="shared" si="3"/>
        <v>316</v>
      </c>
      <c r="I35" s="50">
        <f t="shared" si="4"/>
        <v>0.6257425742574257</v>
      </c>
      <c r="J35" s="7"/>
      <c r="K35" s="7"/>
      <c r="L35" s="7"/>
      <c r="M35" s="8"/>
      <c r="N35" s="26" t="s">
        <v>56</v>
      </c>
      <c r="O35" s="67"/>
      <c r="P35" s="63"/>
      <c r="Q35" s="68"/>
      <c r="R35" s="29">
        <f>'[2]Individuel'!$D$61</f>
        <v>0.6703402518874818</v>
      </c>
      <c r="U35" s="161"/>
      <c r="W35" s="49" t="s">
        <v>132</v>
      </c>
      <c r="X35" s="268">
        <v>0</v>
      </c>
      <c r="Y35" s="269"/>
      <c r="Z35" s="157">
        <f>SUM(X35:Y35)</f>
        <v>0</v>
      </c>
    </row>
    <row r="36" spans="2:21" ht="15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  <c r="N36" s="26" t="s">
        <v>57</v>
      </c>
      <c r="O36" s="27">
        <f>E19</f>
        <v>105</v>
      </c>
      <c r="P36" s="28">
        <f>F19</f>
        <v>47</v>
      </c>
      <c r="Q36" s="29">
        <f>P36/O36</f>
        <v>0.44761904761904764</v>
      </c>
      <c r="R36" s="28">
        <f>'[2]Individuel'!$D$75</f>
        <v>59.9</v>
      </c>
      <c r="U36" s="161"/>
    </row>
    <row r="37" spans="2:29" ht="15" customHeight="1" thickBot="1">
      <c r="B37" s="256" t="s">
        <v>24</v>
      </c>
      <c r="C37" s="257"/>
      <c r="D37" s="257"/>
      <c r="E37" s="257"/>
      <c r="F37" s="257"/>
      <c r="G37" s="257"/>
      <c r="H37" s="257"/>
      <c r="I37" s="258"/>
      <c r="J37" s="7"/>
      <c r="K37" s="7"/>
      <c r="L37" s="7"/>
      <c r="M37" s="8"/>
      <c r="N37" s="34" t="s">
        <v>58</v>
      </c>
      <c r="O37" s="27">
        <f>E19</f>
        <v>105</v>
      </c>
      <c r="P37" s="28">
        <f>H19</f>
        <v>2</v>
      </c>
      <c r="Q37" s="29">
        <f>P37/O37</f>
        <v>0.01904761904761905</v>
      </c>
      <c r="R37" s="28">
        <f>'[2]Individuel'!$I$75</f>
        <v>7.1</v>
      </c>
      <c r="U37" s="161"/>
      <c r="V37" s="161"/>
      <c r="W37" s="161"/>
      <c r="X37" s="161"/>
      <c r="Y37" s="161"/>
      <c r="Z37" s="161"/>
      <c r="AA37" s="161"/>
      <c r="AB37" s="161"/>
      <c r="AC37" s="161"/>
    </row>
    <row r="38" spans="2:21" ht="15" customHeight="1" thickBot="1">
      <c r="B38" s="30" t="s">
        <v>15</v>
      </c>
      <c r="C38" s="30" t="s">
        <v>29</v>
      </c>
      <c r="D38" s="30" t="s">
        <v>17</v>
      </c>
      <c r="E38" s="31" t="s">
        <v>2</v>
      </c>
      <c r="F38" s="31" t="s">
        <v>21</v>
      </c>
      <c r="G38" s="31" t="s">
        <v>30</v>
      </c>
      <c r="H38" s="32" t="s">
        <v>6</v>
      </c>
      <c r="I38" s="31" t="s">
        <v>11</v>
      </c>
      <c r="J38" s="7"/>
      <c r="K38" s="7"/>
      <c r="L38" s="7"/>
      <c r="M38" s="8"/>
      <c r="N38" s="26" t="s">
        <v>59</v>
      </c>
      <c r="O38" s="27">
        <f>E19</f>
        <v>105</v>
      </c>
      <c r="P38" s="28">
        <f>G19</f>
        <v>17</v>
      </c>
      <c r="Q38" s="29">
        <f>P38/O38</f>
        <v>0.1619047619047619</v>
      </c>
      <c r="R38" s="28">
        <f>'[2]Individuel'!$N$75</f>
        <v>13.6</v>
      </c>
      <c r="U38" s="161"/>
    </row>
    <row r="39" spans="2:21" ht="15" customHeight="1" thickBot="1" thickTop="1">
      <c r="B39" s="107">
        <f>'[1]POOL-joueus'!$B$8</f>
        <v>30.66849315068493</v>
      </c>
      <c r="C39" s="107" t="str">
        <f>'[1]POOL-joueus'!$C$8</f>
        <v>Det</v>
      </c>
      <c r="D39" s="124" t="str">
        <f>'[1]POOL-joueus'!$D$8</f>
        <v>Pavel Datsyuk</v>
      </c>
      <c r="E39" s="107">
        <f>'[1]POOL-joueus'!$E$8</f>
        <v>67</v>
      </c>
      <c r="F39" s="107">
        <f>'[1]POOL-joueus'!$F$8</f>
        <v>25</v>
      </c>
      <c r="G39" s="107">
        <f>'[1]POOL-joueus'!$G$8</f>
        <v>57</v>
      </c>
      <c r="H39" s="44">
        <f aca="true" t="shared" si="6" ref="H39:H46">SUM(F39:G39)</f>
        <v>82</v>
      </c>
      <c r="I39" s="45">
        <f aca="true" t="shared" si="7" ref="I39:I46">H39/E39</f>
        <v>1.2238805970149254</v>
      </c>
      <c r="J39" s="7"/>
      <c r="K39" s="7"/>
      <c r="L39" s="7"/>
      <c r="M39" s="8"/>
      <c r="N39" s="26" t="s">
        <v>38</v>
      </c>
      <c r="O39" s="70">
        <f>(B15+B18+B23+B24+B25+B26+B39+B40+B50+B51+B52+B53+B27+B28+B29+B33+B41+B44+B54+B56+B67+B69+B82+B91+B92+B94+B101+B102+B103+B104+B105+B106+B108+B114+B115+B116+B118+B124+B129)/39</f>
        <v>29.542184755883383</v>
      </c>
      <c r="P39" s="61"/>
      <c r="Q39" s="62"/>
      <c r="R39" s="63"/>
      <c r="U39" s="161"/>
    </row>
    <row r="40" spans="2:28" ht="15" customHeight="1">
      <c r="B40" s="185">
        <f>'[1]POOL-joueus'!$B$90</f>
        <v>38.25753424657534</v>
      </c>
      <c r="C40" s="185" t="str">
        <f>'[1]POOL-joueus'!$C$90</f>
        <v>Mtl</v>
      </c>
      <c r="D40" s="186" t="str">
        <f>'[1]POOL-joueus'!$D$90</f>
        <v>Robert Lang</v>
      </c>
      <c r="E40" s="185">
        <v>50</v>
      </c>
      <c r="F40" s="185">
        <v>18</v>
      </c>
      <c r="G40" s="185">
        <v>21</v>
      </c>
      <c r="H40" s="187">
        <f t="shared" si="6"/>
        <v>39</v>
      </c>
      <c r="I40" s="188">
        <f t="shared" si="7"/>
        <v>0.78</v>
      </c>
      <c r="J40" s="7"/>
      <c r="K40" s="7"/>
      <c r="L40" s="7"/>
      <c r="M40" s="8"/>
      <c r="N40" s="34" t="s">
        <v>39</v>
      </c>
      <c r="O40" s="70"/>
      <c r="P40" s="61"/>
      <c r="Q40" s="62"/>
      <c r="R40" s="63"/>
      <c r="U40" s="161"/>
      <c r="W40" s="265" t="s">
        <v>162</v>
      </c>
      <c r="X40" s="266"/>
      <c r="Y40" s="266"/>
      <c r="Z40" s="266"/>
      <c r="AA40" s="266"/>
      <c r="AB40" s="267"/>
    </row>
    <row r="41" spans="2:28" ht="15" customHeight="1" thickBot="1">
      <c r="B41" s="107">
        <f>'[1]POOL-joueus'!$B$74</f>
        <v>32.583561643835615</v>
      </c>
      <c r="C41" s="107" t="str">
        <f>'[1]POOL-joueus'!$C$74</f>
        <v>Nyr</v>
      </c>
      <c r="D41" s="124" t="str">
        <f>'[1]POOL-joueus'!$D$74</f>
        <v>Chris Drury</v>
      </c>
      <c r="E41" s="107">
        <f>'[1]POOL-joueus'!$E$74</f>
        <v>68</v>
      </c>
      <c r="F41" s="107">
        <f>'[1]POOL-joueus'!$F$74</f>
        <v>17</v>
      </c>
      <c r="G41" s="107">
        <f>'[1]POOL-joueus'!$G$74</f>
        <v>27</v>
      </c>
      <c r="H41" s="44">
        <f t="shared" si="6"/>
        <v>44</v>
      </c>
      <c r="I41" s="45">
        <f t="shared" si="7"/>
        <v>0.6470588235294118</v>
      </c>
      <c r="J41" s="7"/>
      <c r="K41" s="7"/>
      <c r="L41" s="7"/>
      <c r="M41" s="8"/>
      <c r="N41" s="26" t="s">
        <v>40</v>
      </c>
      <c r="O41" s="70">
        <f>(B15+B18+B23+B24+B25+B26+B39+B40+B50+B51+B52+B53+B27+B28+B29+B33+B41+B44+B54+B56+B67+B69)/22</f>
        <v>29.23200498132005</v>
      </c>
      <c r="P41" s="59"/>
      <c r="Q41" s="60"/>
      <c r="R41" s="125" t="e">
        <f>'[2]Individuel'!$N$61</f>
        <v>#REF!</v>
      </c>
      <c r="U41" s="161"/>
      <c r="W41" s="65" t="s">
        <v>8</v>
      </c>
      <c r="X41" s="66" t="s">
        <v>9</v>
      </c>
      <c r="Y41" s="66" t="s">
        <v>10</v>
      </c>
      <c r="Z41" s="65" t="s">
        <v>11</v>
      </c>
      <c r="AA41" s="65" t="s">
        <v>68</v>
      </c>
      <c r="AB41" s="65" t="s">
        <v>41</v>
      </c>
    </row>
    <row r="42" spans="2:28" ht="15" customHeight="1" thickBot="1" thickTop="1">
      <c r="B42" s="183">
        <f>'[1]POOL-joueus'!$B$77</f>
        <v>29.084931506849315</v>
      </c>
      <c r="C42" s="183" t="str">
        <f>'[1]POOL-joueus'!$C$77</f>
        <v>Nyr</v>
      </c>
      <c r="D42" s="184" t="str">
        <f>'[1]POOL-joueus'!$D$77</f>
        <v>Nik Antropov</v>
      </c>
      <c r="E42" s="183">
        <v>33</v>
      </c>
      <c r="F42" s="183">
        <v>9</v>
      </c>
      <c r="G42" s="183">
        <v>14</v>
      </c>
      <c r="H42" s="187">
        <f t="shared" si="6"/>
        <v>23</v>
      </c>
      <c r="I42" s="188">
        <f t="shared" si="7"/>
        <v>0.696969696969697</v>
      </c>
      <c r="J42" s="7"/>
      <c r="K42" s="7"/>
      <c r="L42" s="7"/>
      <c r="M42" s="8"/>
      <c r="U42" s="161"/>
      <c r="W42" s="48" t="s">
        <v>42</v>
      </c>
      <c r="X42" s="21">
        <v>232</v>
      </c>
      <c r="Y42" s="22">
        <v>186</v>
      </c>
      <c r="Z42" s="23">
        <v>0.8017241379310345</v>
      </c>
      <c r="AA42" s="22">
        <v>191.9</v>
      </c>
      <c r="AB42" s="22" t="s">
        <v>150</v>
      </c>
    </row>
    <row r="43" spans="2:28" ht="15" customHeight="1">
      <c r="B43" s="107">
        <f>'[1]POOL-joueus'!$B$178</f>
        <v>24.54794520547945</v>
      </c>
      <c r="C43" s="107" t="str">
        <f>'[1]POOL-joueus'!$C$178</f>
        <v>Van</v>
      </c>
      <c r="D43" s="124" t="str">
        <f>'[1]POOL-joueus'!$D$178</f>
        <v>Ryan Kesler</v>
      </c>
      <c r="E43" s="107">
        <f>('[1]POOL-joueus'!$E$178)-46</f>
        <v>20</v>
      </c>
      <c r="F43" s="107">
        <f>('[1]POOL-joueus'!$F$178)-16</f>
        <v>4</v>
      </c>
      <c r="G43" s="107">
        <f>('[1]POOL-joueus'!$G$178)-16</f>
        <v>8</v>
      </c>
      <c r="H43" s="44">
        <f t="shared" si="6"/>
        <v>12</v>
      </c>
      <c r="I43" s="45">
        <f t="shared" si="7"/>
        <v>0.6</v>
      </c>
      <c r="J43" s="7"/>
      <c r="K43" s="7"/>
      <c r="L43" s="7"/>
      <c r="M43" s="8"/>
      <c r="N43" s="265" t="s">
        <v>61</v>
      </c>
      <c r="O43" s="266"/>
      <c r="P43" s="266"/>
      <c r="Q43" s="266"/>
      <c r="R43" s="266"/>
      <c r="S43" s="267"/>
      <c r="T43" s="53"/>
      <c r="U43" s="161"/>
      <c r="W43" s="49" t="s">
        <v>43</v>
      </c>
      <c r="X43" s="21">
        <v>242</v>
      </c>
      <c r="Y43" s="22">
        <v>161</v>
      </c>
      <c r="Z43" s="23">
        <v>0.6652892561983471</v>
      </c>
      <c r="AA43" s="22">
        <v>207.1</v>
      </c>
      <c r="AB43" s="28" t="s">
        <v>153</v>
      </c>
    </row>
    <row r="44" spans="2:28" ht="15" customHeight="1" thickBot="1">
      <c r="B44" s="109">
        <f>'[1]POOL-joueus'!$B$57</f>
        <v>24.893150684931506</v>
      </c>
      <c r="C44" s="109" t="str">
        <f>'[1]POOL-joueus'!$C$57</f>
        <v>Min</v>
      </c>
      <c r="D44" s="111" t="str">
        <f>'[1]POOL-joueus'!$D$57</f>
        <v>Pierre-Marc Bouchard</v>
      </c>
      <c r="E44" s="109">
        <f>('[1]POOL-joueus'!$E$57)-48</f>
        <v>16</v>
      </c>
      <c r="F44" s="109">
        <f>('[1]POOL-joueus'!$F$57)-11</f>
        <v>5</v>
      </c>
      <c r="G44" s="109">
        <f>('[1]POOL-joueus'!$G$57)-19</f>
        <v>8</v>
      </c>
      <c r="H44" s="44">
        <f t="shared" si="6"/>
        <v>13</v>
      </c>
      <c r="I44" s="45">
        <f t="shared" si="7"/>
        <v>0.8125</v>
      </c>
      <c r="J44" s="7"/>
      <c r="K44" s="7"/>
      <c r="L44" s="7"/>
      <c r="M44" s="8"/>
      <c r="N44" s="65" t="s">
        <v>8</v>
      </c>
      <c r="O44" s="66" t="s">
        <v>9</v>
      </c>
      <c r="P44" s="66" t="s">
        <v>10</v>
      </c>
      <c r="Q44" s="65" t="s">
        <v>11</v>
      </c>
      <c r="R44" s="65" t="s">
        <v>68</v>
      </c>
      <c r="S44" s="65" t="s">
        <v>41</v>
      </c>
      <c r="T44" s="164"/>
      <c r="U44" s="161"/>
      <c r="W44" s="49" t="s">
        <v>44</v>
      </c>
      <c r="X44" s="21">
        <v>293</v>
      </c>
      <c r="Y44" s="22">
        <v>242</v>
      </c>
      <c r="Z44" s="23">
        <v>0.825938566552901</v>
      </c>
      <c r="AA44" s="22">
        <v>226.7</v>
      </c>
      <c r="AB44" s="28" t="s">
        <v>148</v>
      </c>
    </row>
    <row r="45" spans="2:28" ht="15" customHeight="1" thickBot="1" thickTop="1">
      <c r="B45" s="107"/>
      <c r="C45" s="107"/>
      <c r="D45" s="124"/>
      <c r="E45" s="123"/>
      <c r="F45" s="123"/>
      <c r="G45" s="123"/>
      <c r="H45" s="37">
        <f t="shared" si="6"/>
        <v>0</v>
      </c>
      <c r="I45" s="46" t="e">
        <f t="shared" si="7"/>
        <v>#DIV/0!</v>
      </c>
      <c r="J45" s="7"/>
      <c r="K45" s="7"/>
      <c r="L45" s="7"/>
      <c r="M45" s="8"/>
      <c r="N45" s="48" t="s">
        <v>233</v>
      </c>
      <c r="O45" s="21">
        <v>195</v>
      </c>
      <c r="P45" s="22">
        <v>134</v>
      </c>
      <c r="Q45" s="23">
        <f>P45/O45</f>
        <v>0.6871794871794872</v>
      </c>
      <c r="R45" s="22">
        <v>169.2</v>
      </c>
      <c r="S45" s="22" t="s">
        <v>153</v>
      </c>
      <c r="T45" s="53"/>
      <c r="U45" s="161"/>
      <c r="W45" s="49" t="s">
        <v>45</v>
      </c>
      <c r="X45" s="21">
        <v>245</v>
      </c>
      <c r="Y45" s="22">
        <v>207</v>
      </c>
      <c r="Z45" s="23">
        <v>0.8448979591836735</v>
      </c>
      <c r="AA45" s="22">
        <v>201.4</v>
      </c>
      <c r="AB45" s="28" t="s">
        <v>149</v>
      </c>
    </row>
    <row r="46" spans="2:28" ht="15" customHeight="1">
      <c r="B46" s="274" t="s">
        <v>26</v>
      </c>
      <c r="C46" s="275"/>
      <c r="D46" s="255"/>
      <c r="E46" s="14">
        <f>SUM(E39:E45)</f>
        <v>254</v>
      </c>
      <c r="F46" s="14">
        <f>SUM(F39:F45)</f>
        <v>78</v>
      </c>
      <c r="G46" s="14">
        <f>SUM(G39:G45)</f>
        <v>135</v>
      </c>
      <c r="H46" s="33">
        <f t="shared" si="6"/>
        <v>213</v>
      </c>
      <c r="I46" s="50">
        <f t="shared" si="7"/>
        <v>0.8385826771653543</v>
      </c>
      <c r="J46" s="7"/>
      <c r="K46" s="7"/>
      <c r="L46" s="7"/>
      <c r="M46" s="8"/>
      <c r="N46" s="49" t="s">
        <v>175</v>
      </c>
      <c r="O46" s="21">
        <v>276</v>
      </c>
      <c r="P46" s="22">
        <v>191</v>
      </c>
      <c r="Q46" s="23">
        <f>P46/O46</f>
        <v>0.6920289855072463</v>
      </c>
      <c r="R46" s="22">
        <v>220.7</v>
      </c>
      <c r="S46" s="28" t="s">
        <v>153</v>
      </c>
      <c r="T46" s="53"/>
      <c r="U46" s="161"/>
      <c r="W46" s="49" t="s">
        <v>46</v>
      </c>
      <c r="X46" s="21">
        <v>262</v>
      </c>
      <c r="Y46" s="22">
        <v>158</v>
      </c>
      <c r="Z46" s="23">
        <v>0.6030534351145038</v>
      </c>
      <c r="AA46" s="22">
        <v>207.9</v>
      </c>
      <c r="AB46" s="28" t="s">
        <v>153</v>
      </c>
    </row>
    <row r="47" spans="2:28" ht="1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8"/>
      <c r="N47" s="49" t="s">
        <v>176</v>
      </c>
      <c r="O47" s="21">
        <v>281</v>
      </c>
      <c r="P47" s="22">
        <v>218</v>
      </c>
      <c r="Q47" s="23">
        <f>P47/O47</f>
        <v>0.7758007117437722</v>
      </c>
      <c r="R47" s="22">
        <v>236.9</v>
      </c>
      <c r="S47" s="28" t="s">
        <v>151</v>
      </c>
      <c r="T47" s="53"/>
      <c r="U47" s="161"/>
      <c r="W47" s="49" t="s">
        <v>47</v>
      </c>
      <c r="X47" s="21">
        <v>253</v>
      </c>
      <c r="Y47" s="22">
        <v>170</v>
      </c>
      <c r="Z47" s="23">
        <v>0.6719367588932806</v>
      </c>
      <c r="AA47" s="22">
        <v>223.7</v>
      </c>
      <c r="AB47" s="28" t="s">
        <v>153</v>
      </c>
    </row>
    <row r="48" spans="2:28" ht="15" customHeight="1" thickBot="1">
      <c r="B48" s="256" t="s">
        <v>25</v>
      </c>
      <c r="C48" s="257"/>
      <c r="D48" s="257"/>
      <c r="E48" s="257"/>
      <c r="F48" s="257"/>
      <c r="G48" s="257"/>
      <c r="H48" s="257"/>
      <c r="I48" s="258"/>
      <c r="J48" s="7"/>
      <c r="K48" s="7"/>
      <c r="L48" s="7"/>
      <c r="M48" s="8"/>
      <c r="N48" s="49" t="s">
        <v>177</v>
      </c>
      <c r="O48" s="21">
        <v>265</v>
      </c>
      <c r="P48" s="22">
        <v>204</v>
      </c>
      <c r="Q48" s="23">
        <f>P48/O48</f>
        <v>0.769811320754717</v>
      </c>
      <c r="R48" s="241">
        <v>209</v>
      </c>
      <c r="S48" s="28" t="s">
        <v>151</v>
      </c>
      <c r="T48" s="53"/>
      <c r="U48" s="161"/>
      <c r="W48" s="49" t="s">
        <v>48</v>
      </c>
      <c r="X48" s="21">
        <v>40</v>
      </c>
      <c r="Y48" s="22">
        <v>21</v>
      </c>
      <c r="Z48" s="23">
        <v>0.525</v>
      </c>
      <c r="AA48" s="22">
        <v>42.1</v>
      </c>
      <c r="AB48" s="28" t="s">
        <v>153</v>
      </c>
    </row>
    <row r="49" spans="2:21" ht="15" customHeight="1" thickBot="1">
      <c r="B49" s="30" t="s">
        <v>15</v>
      </c>
      <c r="C49" s="30" t="s">
        <v>29</v>
      </c>
      <c r="D49" s="30" t="s">
        <v>17</v>
      </c>
      <c r="E49" s="31" t="s">
        <v>2</v>
      </c>
      <c r="F49" s="31" t="s">
        <v>21</v>
      </c>
      <c r="G49" s="31" t="s">
        <v>30</v>
      </c>
      <c r="H49" s="32" t="s">
        <v>6</v>
      </c>
      <c r="I49" s="31" t="s">
        <v>11</v>
      </c>
      <c r="J49" s="7"/>
      <c r="K49" s="7"/>
      <c r="L49" s="7"/>
      <c r="M49" s="8"/>
      <c r="N49" s="49" t="s">
        <v>178</v>
      </c>
      <c r="O49" s="21"/>
      <c r="P49" s="22"/>
      <c r="Q49" s="23"/>
      <c r="R49" s="22"/>
      <c r="S49" s="28"/>
      <c r="T49" s="53"/>
      <c r="U49" s="161"/>
    </row>
    <row r="50" spans="2:21" ht="15" customHeight="1" thickTop="1">
      <c r="B50" s="106">
        <f>'[1]POOL-joueus'!$B$396</f>
        <v>32.68767123287671</v>
      </c>
      <c r="C50" s="106" t="str">
        <f>'[1]POOL-joueus'!$C$396</f>
        <v>Edm</v>
      </c>
      <c r="D50" s="126" t="str">
        <f>'[1]POOL-joueus'!$D$396</f>
        <v>Sheldon Souray</v>
      </c>
      <c r="E50" s="106">
        <f>'[1]POOL-joueus'!$E$396</f>
        <v>65</v>
      </c>
      <c r="F50" s="106">
        <f>'[1]POOL-joueus'!$F$396</f>
        <v>18</v>
      </c>
      <c r="G50" s="106">
        <f>'[1]POOL-joueus'!$G$396</f>
        <v>24</v>
      </c>
      <c r="H50" s="44">
        <f aca="true" t="shared" si="8" ref="H50:H58">SUM(F50:G50)</f>
        <v>42</v>
      </c>
      <c r="I50" s="45">
        <f aca="true" t="shared" si="9" ref="I50:I58">H50/E50</f>
        <v>0.6461538461538462</v>
      </c>
      <c r="J50" s="7"/>
      <c r="K50" s="7"/>
      <c r="L50" s="7"/>
      <c r="M50" s="8"/>
      <c r="N50" s="49" t="s">
        <v>180</v>
      </c>
      <c r="O50" s="21"/>
      <c r="P50" s="22"/>
      <c r="Q50" s="23"/>
      <c r="R50" s="22"/>
      <c r="S50" s="28"/>
      <c r="T50" s="53"/>
      <c r="U50" s="161"/>
    </row>
    <row r="51" spans="2:21" ht="15" customHeight="1">
      <c r="B51" s="107">
        <f>'[1]POOL-joueus'!$B$131</f>
        <v>32.12602739726027</v>
      </c>
      <c r="C51" s="107" t="str">
        <f>'[1]POOL-joueus'!$C$131</f>
        <v>Min</v>
      </c>
      <c r="D51" s="124" t="str">
        <f>'[1]POOL-joueus'!$D$131</f>
        <v>Marek Zidlcky</v>
      </c>
      <c r="E51" s="107">
        <f>'[1]POOL-joueus'!$E$131</f>
        <v>62</v>
      </c>
      <c r="F51" s="107">
        <f>'[1]POOL-joueus'!$F$131</f>
        <v>11</v>
      </c>
      <c r="G51" s="107">
        <f>'[1]POOL-joueus'!$G$131</f>
        <v>22</v>
      </c>
      <c r="H51" s="44">
        <f t="shared" si="8"/>
        <v>33</v>
      </c>
      <c r="I51" s="45">
        <f t="shared" si="9"/>
        <v>0.532258064516129</v>
      </c>
      <c r="J51" s="7"/>
      <c r="K51" s="7"/>
      <c r="L51" s="7"/>
      <c r="M51" s="8"/>
      <c r="N51" s="49" t="s">
        <v>179</v>
      </c>
      <c r="O51" s="21"/>
      <c r="P51" s="22"/>
      <c r="Q51" s="23"/>
      <c r="R51" s="22"/>
      <c r="S51" s="28"/>
      <c r="T51" s="53"/>
      <c r="U51" s="161"/>
    </row>
    <row r="52" spans="2:21" ht="15" customHeight="1">
      <c r="B52" s="107">
        <f>'[1]POOL-joueus'!$B$276</f>
        <v>32.04931506849315</v>
      </c>
      <c r="C52" s="107" t="str">
        <f>'[1]POOL-joueus'!$C$276</f>
        <v>Dal</v>
      </c>
      <c r="D52" s="124" t="str">
        <f>'[1]POOL-joueus'!$D$276</f>
        <v>Stephane Robidas</v>
      </c>
      <c r="E52" s="107">
        <f>'[1]POOL-joueus'!$E$276</f>
        <v>65</v>
      </c>
      <c r="F52" s="107">
        <f>'[1]POOL-joueus'!$F$276</f>
        <v>2</v>
      </c>
      <c r="G52" s="107">
        <f>'[1]POOL-joueus'!$G$276</f>
        <v>21</v>
      </c>
      <c r="H52" s="44">
        <f t="shared" si="8"/>
        <v>23</v>
      </c>
      <c r="I52" s="45">
        <f t="shared" si="9"/>
        <v>0.35384615384615387</v>
      </c>
      <c r="J52" s="7"/>
      <c r="K52" s="7"/>
      <c r="L52" s="7"/>
      <c r="M52" s="8"/>
      <c r="U52" s="161"/>
    </row>
    <row r="53" spans="2:29" ht="15" customHeight="1">
      <c r="B53" s="109">
        <f>'[1]POOL-joueus'!$B$187</f>
        <v>24.054794520547944</v>
      </c>
      <c r="C53" s="109" t="str">
        <f>'[1]POOL-joueus'!$C$187</f>
        <v>Phi</v>
      </c>
      <c r="D53" s="111" t="str">
        <f>'[1]POOL-joueus'!$D$187</f>
        <v>Braydon Coburn</v>
      </c>
      <c r="E53" s="109">
        <f>'[1]POOL-joueus'!$E$187</f>
        <v>63</v>
      </c>
      <c r="F53" s="109">
        <f>'[1]POOL-joueus'!$F$187</f>
        <v>7</v>
      </c>
      <c r="G53" s="109">
        <f>'[1]POOL-joueus'!$G$187</f>
        <v>16</v>
      </c>
      <c r="H53" s="44">
        <f t="shared" si="8"/>
        <v>23</v>
      </c>
      <c r="I53" s="45">
        <f t="shared" si="9"/>
        <v>0.36507936507936506</v>
      </c>
      <c r="J53" s="7"/>
      <c r="K53" s="7"/>
      <c r="L53" s="7"/>
      <c r="M53" s="8"/>
      <c r="N53" s="1" t="s">
        <v>69</v>
      </c>
      <c r="U53" s="161"/>
      <c r="V53" s="161"/>
      <c r="W53" s="161"/>
      <c r="X53" s="161"/>
      <c r="Y53" s="161"/>
      <c r="Z53" s="161"/>
      <c r="AA53" s="161"/>
      <c r="AB53" s="161"/>
      <c r="AC53" s="161"/>
    </row>
    <row r="54" spans="2:21" ht="15" customHeight="1">
      <c r="B54" s="107">
        <f>'[1]POOL-joueus'!$B$300</f>
        <v>26.704109589041096</v>
      </c>
      <c r="C54" s="107" t="str">
        <f>'[1]POOL-joueus'!$C$300</f>
        <v>S.J.</v>
      </c>
      <c r="D54" s="124" t="str">
        <f>'[1]POOL-joueus'!$D$300</f>
        <v>Christian Ehrhoff</v>
      </c>
      <c r="E54" s="107">
        <f>('[1]POOL-joueus'!$E$300)-9</f>
        <v>55</v>
      </c>
      <c r="F54" s="107">
        <f>('[1]POOL-joueus'!$F$300)-2</f>
        <v>6</v>
      </c>
      <c r="G54" s="107">
        <f>('[1]POOL-joueus'!$G$300)-6</f>
        <v>20</v>
      </c>
      <c r="H54" s="44">
        <f t="shared" si="8"/>
        <v>26</v>
      </c>
      <c r="I54" s="45">
        <f t="shared" si="9"/>
        <v>0.4727272727272727</v>
      </c>
      <c r="J54" s="7"/>
      <c r="K54" s="7"/>
      <c r="L54" s="7"/>
      <c r="M54" s="8"/>
      <c r="N54" s="1" t="s">
        <v>67</v>
      </c>
      <c r="U54" s="161"/>
    </row>
    <row r="55" spans="2:21" ht="15" customHeight="1">
      <c r="B55" s="109">
        <f>'[1]POOL-joueus'!$B$227</f>
        <v>23.912328767123288</v>
      </c>
      <c r="C55" s="109" t="str">
        <f>'[1]POOL-joueus'!$C$227</f>
        <v>Chi</v>
      </c>
      <c r="D55" s="111" t="str">
        <f>'[1]POOL-joueus'!$D$227</f>
        <v>Brent Seabrook</v>
      </c>
      <c r="E55" s="109">
        <f>'[1]POOL-joueus'!$E$227</f>
        <v>65</v>
      </c>
      <c r="F55" s="109">
        <f>'[1]POOL-joueus'!$F$227</f>
        <v>5</v>
      </c>
      <c r="G55" s="109">
        <f>'[1]POOL-joueus'!$G$227</f>
        <v>11</v>
      </c>
      <c r="H55" s="44">
        <f t="shared" si="8"/>
        <v>16</v>
      </c>
      <c r="I55" s="45">
        <f t="shared" si="9"/>
        <v>0.24615384615384617</v>
      </c>
      <c r="J55" s="7"/>
      <c r="K55" s="7"/>
      <c r="L55" s="7"/>
      <c r="M55" s="2"/>
      <c r="U55" s="161"/>
    </row>
    <row r="56" spans="2:21" ht="15" customHeight="1">
      <c r="B56" s="185">
        <f>'[1]POOL-joueus'!$B$262</f>
        <v>26.265753424657536</v>
      </c>
      <c r="C56" s="185" t="str">
        <f>'[1]POOL-joueus'!$C$262</f>
        <v>Nsh</v>
      </c>
      <c r="D56" s="186" t="str">
        <f>'[1]POOL-joueus'!$D$262</f>
        <v>Dan Hamhuis</v>
      </c>
      <c r="E56" s="185">
        <v>8</v>
      </c>
      <c r="F56" s="185">
        <v>0</v>
      </c>
      <c r="G56" s="185">
        <v>2</v>
      </c>
      <c r="H56" s="187">
        <f t="shared" si="8"/>
        <v>2</v>
      </c>
      <c r="I56" s="188">
        <f t="shared" si="9"/>
        <v>0.25</v>
      </c>
      <c r="J56" s="7"/>
      <c r="K56" s="7"/>
      <c r="L56" s="7"/>
      <c r="M56" s="2"/>
      <c r="U56" s="161"/>
    </row>
    <row r="57" spans="2:21" ht="15" customHeight="1" thickBot="1">
      <c r="B57" s="109"/>
      <c r="C57" s="109"/>
      <c r="D57" s="176"/>
      <c r="E57" s="113"/>
      <c r="F57" s="113"/>
      <c r="G57" s="113"/>
      <c r="H57" s="37">
        <f t="shared" si="8"/>
        <v>0</v>
      </c>
      <c r="I57" s="46" t="e">
        <f t="shared" si="9"/>
        <v>#DIV/0!</v>
      </c>
      <c r="J57" s="7"/>
      <c r="K57" s="7"/>
      <c r="L57" s="7"/>
      <c r="M57" s="2"/>
      <c r="U57" s="161"/>
    </row>
    <row r="58" spans="2:21" ht="15" customHeight="1">
      <c r="B58" s="274" t="s">
        <v>26</v>
      </c>
      <c r="C58" s="275"/>
      <c r="D58" s="255"/>
      <c r="E58" s="14">
        <f>SUM(E50:E57)</f>
        <v>383</v>
      </c>
      <c r="F58" s="14">
        <f>SUM(F50:F57)</f>
        <v>49</v>
      </c>
      <c r="G58" s="14">
        <f>SUM(G50:G57)</f>
        <v>116</v>
      </c>
      <c r="H58" s="33">
        <f t="shared" si="8"/>
        <v>165</v>
      </c>
      <c r="I58" s="50">
        <f t="shared" si="9"/>
        <v>0.4308093994778068</v>
      </c>
      <c r="J58" s="7"/>
      <c r="K58" s="7"/>
      <c r="L58" s="7"/>
      <c r="M58" s="2"/>
      <c r="U58" s="161"/>
    </row>
    <row r="59" spans="2:21" ht="15" customHeight="1">
      <c r="B59" s="146"/>
      <c r="C59" s="146"/>
      <c r="D59" s="146"/>
      <c r="E59" s="5"/>
      <c r="F59" s="5"/>
      <c r="G59" s="5"/>
      <c r="H59" s="5"/>
      <c r="I59" s="147"/>
      <c r="J59" s="7"/>
      <c r="K59" s="7"/>
      <c r="L59" s="7"/>
      <c r="M59" s="2"/>
      <c r="U59" s="161"/>
    </row>
    <row r="60" spans="2:21" ht="15" customHeight="1" thickBot="1">
      <c r="B60" s="319" t="s">
        <v>141</v>
      </c>
      <c r="C60" s="320"/>
      <c r="D60" s="320"/>
      <c r="E60" s="320"/>
      <c r="F60" s="320"/>
      <c r="G60" s="320"/>
      <c r="H60" s="320"/>
      <c r="I60" s="320"/>
      <c r="J60" s="320"/>
      <c r="K60" s="321"/>
      <c r="L60" s="7"/>
      <c r="M60" s="2"/>
      <c r="U60" s="161"/>
    </row>
    <row r="61" spans="2:21" ht="15" customHeight="1" thickBot="1">
      <c r="B61" s="30" t="s">
        <v>15</v>
      </c>
      <c r="C61" s="30" t="s">
        <v>16</v>
      </c>
      <c r="D61" s="30" t="s">
        <v>17</v>
      </c>
      <c r="E61" s="31" t="s">
        <v>2</v>
      </c>
      <c r="F61" s="31" t="s">
        <v>18</v>
      </c>
      <c r="G61" s="31" t="s">
        <v>19</v>
      </c>
      <c r="H61" s="31" t="s">
        <v>20</v>
      </c>
      <c r="I61" s="31" t="s">
        <v>21</v>
      </c>
      <c r="J61" s="31" t="s">
        <v>22</v>
      </c>
      <c r="K61" s="32" t="s">
        <v>6</v>
      </c>
      <c r="L61" s="7"/>
      <c r="M61" s="2"/>
      <c r="U61" s="161"/>
    </row>
    <row r="62" spans="2:21" ht="15" customHeight="1" thickTop="1">
      <c r="B62" s="121"/>
      <c r="C62" s="121"/>
      <c r="D62" s="122"/>
      <c r="E62" s="121"/>
      <c r="F62" s="121"/>
      <c r="G62" s="121"/>
      <c r="H62" s="121"/>
      <c r="I62" s="121"/>
      <c r="J62" s="121"/>
      <c r="K62" s="44">
        <f>(F62*2)+G62+(H62*4)+(I62*10)+J62</f>
        <v>0</v>
      </c>
      <c r="L62" s="7"/>
      <c r="M62" s="2"/>
      <c r="U62" s="161"/>
    </row>
    <row r="63" spans="2:21" ht="15" customHeight="1" thickBot="1">
      <c r="B63" s="108"/>
      <c r="C63" s="108"/>
      <c r="D63" s="110"/>
      <c r="E63" s="137"/>
      <c r="F63" s="137"/>
      <c r="G63" s="137"/>
      <c r="H63" s="137"/>
      <c r="I63" s="137"/>
      <c r="J63" s="137"/>
      <c r="K63" s="120">
        <f>(F63*2)+G63+(H63*4)+(I63*10)+J63</f>
        <v>0</v>
      </c>
      <c r="L63" s="7"/>
      <c r="M63" s="2"/>
      <c r="U63" s="161"/>
    </row>
    <row r="64" spans="2:21" ht="15" customHeight="1">
      <c r="B64" s="274" t="s">
        <v>26</v>
      </c>
      <c r="C64" s="275"/>
      <c r="D64" s="255"/>
      <c r="E64" s="14">
        <f aca="true" t="shared" si="10" ref="E64:J64">SUM(E61:E63)</f>
        <v>0</v>
      </c>
      <c r="F64" s="14">
        <f t="shared" si="10"/>
        <v>0</v>
      </c>
      <c r="G64" s="14">
        <f t="shared" si="10"/>
        <v>0</v>
      </c>
      <c r="H64" s="14">
        <f t="shared" si="10"/>
        <v>0</v>
      </c>
      <c r="I64" s="14">
        <f t="shared" si="10"/>
        <v>0</v>
      </c>
      <c r="J64" s="14">
        <f t="shared" si="10"/>
        <v>0</v>
      </c>
      <c r="K64" s="33">
        <f>(F64*2)+G64+(H64*4)+(I64*10)+J64</f>
        <v>0</v>
      </c>
      <c r="L64" s="7"/>
      <c r="M64" s="2"/>
      <c r="U64" s="162"/>
    </row>
    <row r="65" spans="2:21" ht="15" customHeight="1" thickBot="1">
      <c r="B65" s="319" t="s">
        <v>140</v>
      </c>
      <c r="C65" s="320"/>
      <c r="D65" s="320"/>
      <c r="E65" s="320"/>
      <c r="F65" s="320"/>
      <c r="G65" s="320"/>
      <c r="H65" s="320"/>
      <c r="I65" s="321"/>
      <c r="L65" s="7"/>
      <c r="M65" s="2"/>
      <c r="U65" s="162"/>
    </row>
    <row r="66" spans="1:21" ht="15" customHeight="1" thickBot="1">
      <c r="A66" s="30" t="s">
        <v>143</v>
      </c>
      <c r="B66" s="30" t="s">
        <v>15</v>
      </c>
      <c r="C66" s="30" t="s">
        <v>29</v>
      </c>
      <c r="D66" s="30" t="s">
        <v>17</v>
      </c>
      <c r="E66" s="31" t="s">
        <v>2</v>
      </c>
      <c r="F66" s="31" t="s">
        <v>21</v>
      </c>
      <c r="G66" s="31" t="s">
        <v>30</v>
      </c>
      <c r="H66" s="32" t="s">
        <v>6</v>
      </c>
      <c r="I66" s="31" t="s">
        <v>11</v>
      </c>
      <c r="L66" s="52"/>
      <c r="M66" s="2"/>
      <c r="U66" s="161"/>
    </row>
    <row r="67" spans="1:21" ht="15" customHeight="1" thickTop="1">
      <c r="A67" s="103" t="s">
        <v>145</v>
      </c>
      <c r="B67" s="138">
        <f>'[1]POOL-joueus'!$B$423</f>
        <v>20.92054794520548</v>
      </c>
      <c r="C67" s="138" t="str">
        <f>'[1]POOL-joueus'!$C$423</f>
        <v>Nyi</v>
      </c>
      <c r="D67" s="149" t="str">
        <f>'[1]POOL-joueus'!$D$423</f>
        <v>Kyle Okposo</v>
      </c>
      <c r="E67" s="138">
        <f>'[1]POOL-joueus'!$E$423</f>
        <v>55</v>
      </c>
      <c r="F67" s="138">
        <f>'[1]POOL-joueus'!$F$423</f>
        <v>16</v>
      </c>
      <c r="G67" s="138">
        <f>'[1]POOL-joueus'!$G$423</f>
        <v>11</v>
      </c>
      <c r="H67" s="44">
        <f>SUM(F67:G67)</f>
        <v>27</v>
      </c>
      <c r="I67" s="29">
        <f>H67/E67</f>
        <v>0.4909090909090909</v>
      </c>
      <c r="J67" s="142"/>
      <c r="L67" s="7"/>
      <c r="M67" s="2"/>
      <c r="U67" s="161"/>
    </row>
    <row r="68" spans="1:21" ht="12.75">
      <c r="A68" s="14" t="s">
        <v>145</v>
      </c>
      <c r="B68" s="109">
        <f>'[1]POOL-joueus'!$B$453</f>
        <v>22.4027397260274</v>
      </c>
      <c r="C68" s="109" t="str">
        <f>'[1]POOL-joueus'!$C$453</f>
        <v>Mtl</v>
      </c>
      <c r="D68" s="111" t="str">
        <f>'[1]POOL-joueus'!$D$453</f>
        <v>Matt D'Agostini</v>
      </c>
      <c r="E68" s="109">
        <f>(('[1]POOL-joueus'!$E$453)-3)-28</f>
        <v>14</v>
      </c>
      <c r="F68" s="109">
        <f>(('[1]POOL-joueus'!$F$453)-2)-7</f>
        <v>1</v>
      </c>
      <c r="G68" s="109">
        <f>(('[1]POOL-joueus'!$G$453)-1)-3</f>
        <v>4</v>
      </c>
      <c r="H68" s="44">
        <f>SUM(F68:G68)</f>
        <v>5</v>
      </c>
      <c r="I68" s="29">
        <f>H68/E68</f>
        <v>0.35714285714285715</v>
      </c>
      <c r="J68" s="142"/>
      <c r="L68" s="7"/>
      <c r="M68" s="2"/>
      <c r="U68" s="161"/>
    </row>
    <row r="69" spans="1:21" ht="15.75" customHeight="1" thickBot="1">
      <c r="A69" s="180" t="s">
        <v>235</v>
      </c>
      <c r="B69" s="185">
        <f>'[1]POOL-joueus'!$B$776</f>
        <v>24.41917808219178</v>
      </c>
      <c r="C69" s="185" t="str">
        <f>'[1]POOL-joueus'!$C$776</f>
        <v>Wsh</v>
      </c>
      <c r="D69" s="186" t="str">
        <f>'[1]POOL-joueus'!$D$776</f>
        <v>Sami Lepisto</v>
      </c>
      <c r="E69" s="204">
        <v>2</v>
      </c>
      <c r="F69" s="204">
        <v>0</v>
      </c>
      <c r="G69" s="204">
        <v>0</v>
      </c>
      <c r="H69" s="211">
        <f>SUM(F69:G69)</f>
        <v>0</v>
      </c>
      <c r="I69" s="212">
        <f>H69/E69</f>
        <v>0</v>
      </c>
      <c r="L69" s="7"/>
      <c r="M69" s="2"/>
      <c r="U69" s="161"/>
    </row>
    <row r="70" spans="2:21" ht="15" customHeight="1">
      <c r="B70" s="278" t="s">
        <v>7</v>
      </c>
      <c r="C70" s="281"/>
      <c r="D70" s="279"/>
      <c r="E70" s="22">
        <f>SUM(E67:E69)</f>
        <v>71</v>
      </c>
      <c r="F70" s="22">
        <f>SUM(F67:F69)</f>
        <v>17</v>
      </c>
      <c r="G70" s="22">
        <f>SUM(G67:G69)</f>
        <v>15</v>
      </c>
      <c r="H70" s="33">
        <f>SUM(H67:H69)</f>
        <v>32</v>
      </c>
      <c r="I70" s="23">
        <f>H70/E70</f>
        <v>0.4507042253521127</v>
      </c>
      <c r="L70" s="7"/>
      <c r="M70" s="2"/>
      <c r="U70" s="161"/>
    </row>
    <row r="71" spans="2:21" ht="15" customHeight="1">
      <c r="B71" s="76"/>
      <c r="C71" s="76"/>
      <c r="D71" s="76"/>
      <c r="E71" s="53"/>
      <c r="F71" s="53"/>
      <c r="G71" s="53"/>
      <c r="H71" s="53"/>
      <c r="I71" s="77"/>
      <c r="L71" s="7"/>
      <c r="M71" s="2"/>
      <c r="U71" s="161"/>
    </row>
    <row r="72" spans="2:21" ht="15" customHeight="1">
      <c r="B72" s="278" t="s">
        <v>142</v>
      </c>
      <c r="C72" s="281"/>
      <c r="D72" s="279"/>
      <c r="E72" s="109">
        <f>E64+E70</f>
        <v>71</v>
      </c>
      <c r="F72" s="112"/>
      <c r="G72" s="112"/>
      <c r="H72" s="44">
        <f>K64+H70</f>
        <v>32</v>
      </c>
      <c r="I72" s="29">
        <f>H72/E72</f>
        <v>0.4507042253521127</v>
      </c>
      <c r="L72" s="7"/>
      <c r="M72" s="2"/>
      <c r="U72" s="161"/>
    </row>
    <row r="73" spans="2:21" ht="15" customHeight="1" thickBot="1">
      <c r="B73" s="51"/>
      <c r="C73" s="51"/>
      <c r="D73" s="51"/>
      <c r="E73" s="51"/>
      <c r="F73" s="51"/>
      <c r="G73" s="51"/>
      <c r="H73" s="51"/>
      <c r="I73" s="51"/>
      <c r="J73" s="52"/>
      <c r="K73" s="52"/>
      <c r="M73" s="2"/>
      <c r="U73" s="161"/>
    </row>
    <row r="74" spans="2:21" ht="15" customHeight="1">
      <c r="B74" s="280" t="s">
        <v>63</v>
      </c>
      <c r="C74" s="280"/>
      <c r="D74" s="280"/>
      <c r="E74" s="280"/>
      <c r="F74" s="280"/>
      <c r="G74" s="280"/>
      <c r="H74" s="280"/>
      <c r="I74" s="280"/>
      <c r="J74" s="280"/>
      <c r="K74" s="280"/>
      <c r="M74" s="2"/>
      <c r="U74" s="161"/>
    </row>
    <row r="75" spans="2:21" ht="15" customHeight="1">
      <c r="B75" s="53"/>
      <c r="C75" s="53"/>
      <c r="D75" s="53"/>
      <c r="E75" s="53"/>
      <c r="F75" s="53"/>
      <c r="G75" s="53"/>
      <c r="H75" s="53"/>
      <c r="I75" s="53"/>
      <c r="J75" s="7"/>
      <c r="K75" s="7"/>
      <c r="M75" s="2"/>
      <c r="U75" s="161"/>
    </row>
    <row r="76" spans="2:21" ht="15" customHeight="1" thickBot="1">
      <c r="B76" s="53"/>
      <c r="C76" s="248" t="s">
        <v>1</v>
      </c>
      <c r="D76" s="249"/>
      <c r="E76" s="54" t="s">
        <v>2</v>
      </c>
      <c r="F76" s="54" t="s">
        <v>3</v>
      </c>
      <c r="G76" s="54" t="s">
        <v>4</v>
      </c>
      <c r="H76" s="54" t="s">
        <v>5</v>
      </c>
      <c r="I76" s="54" t="s">
        <v>6</v>
      </c>
      <c r="J76" s="53"/>
      <c r="K76" s="53"/>
      <c r="M76" s="2"/>
      <c r="U76" s="161"/>
    </row>
    <row r="77" spans="2:21" ht="15" customHeight="1" thickBot="1" thickTop="1">
      <c r="B77" s="53"/>
      <c r="C77" s="276" t="str">
        <f>'[1]Equipes-Pool'!$B$21</f>
        <v>Predators de Nashville</v>
      </c>
      <c r="D77" s="277"/>
      <c r="E77" s="55">
        <f>'[1]Equipes-Pool'!$C$21</f>
        <v>68</v>
      </c>
      <c r="F77" s="55">
        <f>'[1]Equipes-Pool'!$D$21</f>
        <v>71</v>
      </c>
      <c r="G77" s="55">
        <f>'[1]Equipes-Pool'!$E$21</f>
        <v>173</v>
      </c>
      <c r="H77" s="55">
        <f>'[1]Equipes-Pool'!$F$21</f>
        <v>189</v>
      </c>
      <c r="I77" s="12">
        <f>F77+(G77-H77)</f>
        <v>55</v>
      </c>
      <c r="J77" s="53"/>
      <c r="K77" s="53"/>
      <c r="M77" s="2"/>
      <c r="U77" s="161"/>
    </row>
    <row r="78" spans="2:21" ht="15" customHeight="1">
      <c r="B78" s="53"/>
      <c r="C78" s="278" t="s">
        <v>7</v>
      </c>
      <c r="D78" s="279"/>
      <c r="E78" s="22">
        <f>SUM(E77)</f>
        <v>68</v>
      </c>
      <c r="F78" s="22">
        <f>SUM(F77)</f>
        <v>71</v>
      </c>
      <c r="G78" s="22">
        <f>SUM(G77)</f>
        <v>173</v>
      </c>
      <c r="H78" s="22">
        <f>SUM(H77)</f>
        <v>189</v>
      </c>
      <c r="I78" s="56">
        <f>F78+(G78-H78)</f>
        <v>55</v>
      </c>
      <c r="J78" s="53"/>
      <c r="K78" s="53"/>
      <c r="M78" s="2"/>
      <c r="U78" s="161"/>
    </row>
    <row r="79" spans="10:21" ht="15" customHeight="1">
      <c r="J79" s="57"/>
      <c r="K79" s="57"/>
      <c r="M79" s="2"/>
      <c r="U79" s="161"/>
    </row>
    <row r="80" spans="2:21" ht="13.5">
      <c r="B80" s="251" t="s">
        <v>13</v>
      </c>
      <c r="C80" s="252"/>
      <c r="D80" s="252"/>
      <c r="E80" s="252"/>
      <c r="F80" s="252"/>
      <c r="G80" s="252"/>
      <c r="H80" s="252"/>
      <c r="I80" s="252"/>
      <c r="J80" s="252"/>
      <c r="K80" s="253"/>
      <c r="M80" s="2"/>
      <c r="U80" s="161"/>
    </row>
    <row r="81" spans="2:21" ht="15" customHeight="1" thickBot="1">
      <c r="B81" s="54" t="s">
        <v>15</v>
      </c>
      <c r="C81" s="54" t="s">
        <v>16</v>
      </c>
      <c r="D81" s="54" t="s">
        <v>17</v>
      </c>
      <c r="E81" s="54" t="s">
        <v>2</v>
      </c>
      <c r="F81" s="54" t="s">
        <v>18</v>
      </c>
      <c r="G81" s="54" t="s">
        <v>19</v>
      </c>
      <c r="H81" s="54" t="s">
        <v>20</v>
      </c>
      <c r="I81" s="54" t="s">
        <v>21</v>
      </c>
      <c r="J81" s="54" t="s">
        <v>22</v>
      </c>
      <c r="K81" s="54" t="s">
        <v>6</v>
      </c>
      <c r="M81" s="2"/>
      <c r="U81" s="161"/>
    </row>
    <row r="82" spans="2:21" ht="15" customHeight="1" thickTop="1">
      <c r="B82" s="180">
        <f>'[1]Pool-gardien'!$B$17</f>
        <v>31.835616438356166</v>
      </c>
      <c r="C82" s="180" t="str">
        <f>'[1]Pool-gardien'!$C$17</f>
        <v>Tor</v>
      </c>
      <c r="D82" s="181" t="str">
        <f>'[1]Pool-gardien'!$D$17</f>
        <v>Vesa Toskala</v>
      </c>
      <c r="E82" s="180">
        <v>9</v>
      </c>
      <c r="F82" s="180">
        <v>4</v>
      </c>
      <c r="G82" s="180">
        <v>2</v>
      </c>
      <c r="H82" s="180">
        <v>1</v>
      </c>
      <c r="I82" s="180">
        <v>0</v>
      </c>
      <c r="J82" s="180">
        <v>0</v>
      </c>
      <c r="K82" s="201">
        <f aca="true" t="shared" si="11" ref="K82:K87">(F82*2)+G82+(H82*4)+(I82*10)+J82</f>
        <v>14</v>
      </c>
      <c r="M82" s="2"/>
      <c r="U82" s="162"/>
    </row>
    <row r="83" spans="2:21" ht="15" customHeight="1">
      <c r="B83" s="180">
        <f>'[1]Pool-gardien'!$B$18</f>
        <v>33.54794520547945</v>
      </c>
      <c r="C83" s="180" t="str">
        <f>'[1]Pool-gardien'!$C$18</f>
        <v>Chi</v>
      </c>
      <c r="D83" s="181" t="str">
        <f>'[1]Pool-gardien'!$D$18</f>
        <v>Cristobal Huet</v>
      </c>
      <c r="E83" s="180">
        <v>29</v>
      </c>
      <c r="F83" s="180">
        <v>16</v>
      </c>
      <c r="G83" s="180">
        <v>2</v>
      </c>
      <c r="H83" s="180">
        <v>3</v>
      </c>
      <c r="I83" s="180">
        <v>0</v>
      </c>
      <c r="J83" s="180">
        <v>0</v>
      </c>
      <c r="K83" s="201">
        <f t="shared" si="11"/>
        <v>46</v>
      </c>
      <c r="M83" s="2"/>
      <c r="U83" s="162"/>
    </row>
    <row r="84" spans="2:21" ht="15" customHeight="1">
      <c r="B84" s="108">
        <f>'[1]Pool-gardien'!$B$48</f>
        <v>28.197260273972603</v>
      </c>
      <c r="C84" s="22" t="str">
        <f>'[1]Pool-gardien'!$C$48</f>
        <v>Ott</v>
      </c>
      <c r="D84" s="42" t="str">
        <f>'[1]Pool-gardien'!$D$48</f>
        <v>Alexander Auld</v>
      </c>
      <c r="E84" s="22">
        <f>('[1]Pool-gardien'!$E$48)-6</f>
        <v>29</v>
      </c>
      <c r="F84" s="22">
        <f>('[1]Pool-gardien'!$F$48)-3</f>
        <v>9</v>
      </c>
      <c r="G84" s="22">
        <f>('[1]Pool-gardien'!$G$48)-1</f>
        <v>5</v>
      </c>
      <c r="H84" s="22">
        <f>('[1]Pool-gardien'!$H$48)-0</f>
        <v>1</v>
      </c>
      <c r="I84" s="22">
        <f>('[1]Pool-gardien'!$I$48)-0</f>
        <v>0</v>
      </c>
      <c r="J84" s="22">
        <f>('[1]Pool-gardien'!$J$48)-0</f>
        <v>0</v>
      </c>
      <c r="K84" s="14">
        <f t="shared" si="11"/>
        <v>27</v>
      </c>
      <c r="M84" s="2"/>
      <c r="U84" s="163"/>
    </row>
    <row r="85" spans="2:21" ht="15" customHeight="1">
      <c r="B85" s="107">
        <f>'[1]Pool-gardien'!$B$27</f>
        <v>28.75068493150685</v>
      </c>
      <c r="C85" s="107" t="str">
        <f>'[1]Pool-gardien'!$C$27</f>
        <v>Nsh</v>
      </c>
      <c r="D85" s="124" t="str">
        <f>'[1]Pool-gardien'!$D$27</f>
        <v>Dan Ellis</v>
      </c>
      <c r="E85" s="106">
        <f>((('[1]Pool-gardien'!$E$27)-12)-20)-1</f>
        <v>2</v>
      </c>
      <c r="F85" s="106">
        <f>((('[1]Pool-gardien'!$F$27)-4)-7)-0</f>
        <v>0</v>
      </c>
      <c r="G85" s="106">
        <f>((('[1]Pool-gardien'!$G$27)-1)-2)-0</f>
        <v>1</v>
      </c>
      <c r="H85" s="106">
        <f>((('[1]Pool-gardien'!$H$27)-0)-3)-0</f>
        <v>0</v>
      </c>
      <c r="I85" s="106">
        <f>((('[1]Pool-gardien'!$I$27)-0)-0)-0</f>
        <v>0</v>
      </c>
      <c r="J85" s="106">
        <f>((('[1]Pool-gardien'!$J$27)-0)-0)-0</f>
        <v>0</v>
      </c>
      <c r="K85" s="14">
        <f t="shared" si="11"/>
        <v>1</v>
      </c>
      <c r="M85" s="2"/>
      <c r="U85" s="161"/>
    </row>
    <row r="86" spans="2:21" ht="15" customHeight="1" thickBot="1">
      <c r="B86" s="28"/>
      <c r="C86" s="47"/>
      <c r="D86" s="47"/>
      <c r="E86" s="40"/>
      <c r="F86" s="40"/>
      <c r="G86" s="40"/>
      <c r="H86" s="40"/>
      <c r="I86" s="40"/>
      <c r="J86" s="40"/>
      <c r="K86" s="36">
        <f t="shared" si="11"/>
        <v>0</v>
      </c>
      <c r="M86" s="2"/>
      <c r="U86" s="161"/>
    </row>
    <row r="87" spans="2:21" ht="15" customHeight="1">
      <c r="B87" s="278" t="s">
        <v>7</v>
      </c>
      <c r="C87" s="281"/>
      <c r="D87" s="279"/>
      <c r="E87" s="22">
        <f aca="true" t="shared" si="12" ref="E87:J87">SUM(E82:E86)</f>
        <v>69</v>
      </c>
      <c r="F87" s="22">
        <f t="shared" si="12"/>
        <v>29</v>
      </c>
      <c r="G87" s="22">
        <f t="shared" si="12"/>
        <v>10</v>
      </c>
      <c r="H87" s="22">
        <f t="shared" si="12"/>
        <v>5</v>
      </c>
      <c r="I87" s="22">
        <f t="shared" si="12"/>
        <v>0</v>
      </c>
      <c r="J87" s="22">
        <f t="shared" si="12"/>
        <v>0</v>
      </c>
      <c r="K87" s="14">
        <f t="shared" si="11"/>
        <v>88</v>
      </c>
      <c r="M87" s="2"/>
      <c r="U87" s="161"/>
    </row>
    <row r="88" spans="13:21" ht="15" customHeight="1">
      <c r="M88" s="2"/>
      <c r="U88" s="161"/>
    </row>
    <row r="89" spans="2:21" ht="13.5">
      <c r="B89" s="251" t="s">
        <v>23</v>
      </c>
      <c r="C89" s="252"/>
      <c r="D89" s="252"/>
      <c r="E89" s="252"/>
      <c r="F89" s="252"/>
      <c r="G89" s="252"/>
      <c r="H89" s="252"/>
      <c r="I89" s="253"/>
      <c r="M89" s="2"/>
      <c r="U89" s="161"/>
    </row>
    <row r="90" spans="2:21" ht="15" customHeight="1" thickBot="1">
      <c r="B90" s="54" t="s">
        <v>15</v>
      </c>
      <c r="C90" s="54" t="s">
        <v>29</v>
      </c>
      <c r="D90" s="54" t="s">
        <v>17</v>
      </c>
      <c r="E90" s="54" t="s">
        <v>2</v>
      </c>
      <c r="F90" s="54" t="s">
        <v>21</v>
      </c>
      <c r="G90" s="54" t="s">
        <v>30</v>
      </c>
      <c r="H90" s="54" t="s">
        <v>6</v>
      </c>
      <c r="I90" s="54" t="s">
        <v>11</v>
      </c>
      <c r="M90" s="2"/>
      <c r="U90" s="161"/>
    </row>
    <row r="91" spans="2:21" ht="15" customHeight="1" thickTop="1">
      <c r="B91" s="185">
        <f>'[1]POOL-joueus'!$B$100</f>
        <v>25.797260273972604</v>
      </c>
      <c r="C91" s="185" t="str">
        <f>'[1]POOL-joueus'!$C$100</f>
        <v>Mtl</v>
      </c>
      <c r="D91" s="186" t="str">
        <f>'[1]POOL-joueus'!$D$100</f>
        <v>Chis Higgins</v>
      </c>
      <c r="E91" s="185">
        <v>29</v>
      </c>
      <c r="F91" s="185">
        <v>6</v>
      </c>
      <c r="G91" s="185">
        <v>5</v>
      </c>
      <c r="H91" s="139">
        <f aca="true" t="shared" si="13" ref="H91:H97">SUM(F91:G91)</f>
        <v>11</v>
      </c>
      <c r="I91" s="182">
        <f aca="true" t="shared" si="14" ref="I91:I97">H91/E91</f>
        <v>0.3793103448275862</v>
      </c>
      <c r="M91" s="2"/>
      <c r="U91" s="161"/>
    </row>
    <row r="92" spans="2:21" ht="15" customHeight="1">
      <c r="B92" s="183">
        <f>'[1]POOL-joueus'!$B$196</f>
        <v>26.32054794520548</v>
      </c>
      <c r="C92" s="183" t="str">
        <f>'[1]POOL-joueus'!$C$196</f>
        <v>Atl</v>
      </c>
      <c r="D92" s="184" t="str">
        <f>'[1]POOL-joueus'!$D$196</f>
        <v>Colby Armstrong</v>
      </c>
      <c r="E92" s="183">
        <v>54</v>
      </c>
      <c r="F92" s="183">
        <v>14</v>
      </c>
      <c r="G92" s="183">
        <v>10</v>
      </c>
      <c r="H92" s="139">
        <f t="shared" si="13"/>
        <v>24</v>
      </c>
      <c r="I92" s="182">
        <f t="shared" si="14"/>
        <v>0.4444444444444444</v>
      </c>
      <c r="M92" s="2"/>
      <c r="U92" s="161"/>
    </row>
    <row r="93" spans="2:21" ht="15" customHeight="1">
      <c r="B93" s="109">
        <f>'[1]POOL-joueus'!$B$290</f>
        <v>27.273972602739725</v>
      </c>
      <c r="C93" s="109" t="str">
        <f>'[1]POOL-joueus'!$C$290</f>
        <v>Cgy</v>
      </c>
      <c r="D93" s="111" t="str">
        <f>'[1]POOL-joueus'!$D$290</f>
        <v>Rene Bourque</v>
      </c>
      <c r="E93" s="109">
        <f>('[1]POOL-joueus'!$E$290)-53</f>
        <v>5</v>
      </c>
      <c r="F93" s="109">
        <f>('[1]POOL-joueus'!$F$290)-18</f>
        <v>3</v>
      </c>
      <c r="G93" s="109">
        <f>('[1]POOL-joueus'!$G$290)-16</f>
        <v>3</v>
      </c>
      <c r="H93" s="22">
        <f>SUM(F93:G93)</f>
        <v>6</v>
      </c>
      <c r="I93" s="23">
        <f>H93/E93</f>
        <v>1.2</v>
      </c>
      <c r="M93" s="2"/>
      <c r="U93" s="161"/>
    </row>
    <row r="94" spans="2:21" ht="15" customHeight="1">
      <c r="B94" s="107">
        <f>'[1]POOL-joueus'!$B$305</f>
        <v>24.96712328767123</v>
      </c>
      <c r="C94" s="107" t="str">
        <f>'[1]POOL-joueus'!$C$305</f>
        <v>N.J.</v>
      </c>
      <c r="D94" s="124" t="str">
        <f>'[1]POOL-joueus'!$D$305</f>
        <v>David Clarkson</v>
      </c>
      <c r="E94" s="107">
        <f>'[1]POOL-joueus'!$E$305</f>
        <v>67</v>
      </c>
      <c r="F94" s="107">
        <f>'[1]POOL-joueus'!$F$305</f>
        <v>15</v>
      </c>
      <c r="G94" s="107">
        <f>'[1]POOL-joueus'!$G$305</f>
        <v>13</v>
      </c>
      <c r="H94" s="22">
        <f t="shared" si="13"/>
        <v>28</v>
      </c>
      <c r="I94" s="23">
        <f t="shared" si="14"/>
        <v>0.417910447761194</v>
      </c>
      <c r="M94" s="2"/>
      <c r="U94" s="161"/>
    </row>
    <row r="95" spans="2:21" ht="15" customHeight="1">
      <c r="B95" s="183">
        <f>'[1]POOL-joueus'!$B$775</f>
        <v>24.315068493150687</v>
      </c>
      <c r="C95" s="183" t="str">
        <f>'[1]POOL-joueus'!$C$775</f>
        <v>Fla</v>
      </c>
      <c r="D95" s="184" t="str">
        <f>'[1]POOL-joueus'!$D$775</f>
        <v>David Booth</v>
      </c>
      <c r="E95" s="183">
        <v>2</v>
      </c>
      <c r="F95" s="183">
        <v>3</v>
      </c>
      <c r="G95" s="183">
        <v>1</v>
      </c>
      <c r="H95" s="140">
        <f t="shared" si="13"/>
        <v>4</v>
      </c>
      <c r="I95" s="199">
        <f t="shared" si="14"/>
        <v>2</v>
      </c>
      <c r="M95" s="2"/>
      <c r="U95" s="161"/>
    </row>
    <row r="96" spans="2:21" ht="15" customHeight="1" thickBot="1">
      <c r="B96" s="107"/>
      <c r="C96" s="107"/>
      <c r="D96" s="124"/>
      <c r="E96" s="166"/>
      <c r="F96" s="166"/>
      <c r="G96" s="166"/>
      <c r="H96" s="114">
        <f t="shared" si="13"/>
        <v>0</v>
      </c>
      <c r="I96" s="115" t="e">
        <f t="shared" si="14"/>
        <v>#DIV/0!</v>
      </c>
      <c r="M96" s="2"/>
      <c r="U96" s="161"/>
    </row>
    <row r="97" spans="2:21" ht="15" customHeight="1">
      <c r="B97" s="278" t="s">
        <v>7</v>
      </c>
      <c r="C97" s="281"/>
      <c r="D97" s="279"/>
      <c r="E97" s="22">
        <f>SUM(E91:E96)</f>
        <v>157</v>
      </c>
      <c r="F97" s="22">
        <f>SUM(F91:F96)</f>
        <v>41</v>
      </c>
      <c r="G97" s="22">
        <f>SUM(G91:G96)</f>
        <v>32</v>
      </c>
      <c r="H97" s="22">
        <f t="shared" si="13"/>
        <v>73</v>
      </c>
      <c r="I97" s="23">
        <f t="shared" si="14"/>
        <v>0.46496815286624205</v>
      </c>
      <c r="M97" s="2"/>
      <c r="U97" s="161"/>
    </row>
    <row r="98" spans="13:21" ht="12.75">
      <c r="M98" s="2"/>
      <c r="U98" s="161"/>
    </row>
    <row r="99" spans="2:21" ht="15" customHeight="1">
      <c r="B99" s="251" t="s">
        <v>24</v>
      </c>
      <c r="C99" s="252"/>
      <c r="D99" s="252"/>
      <c r="E99" s="252"/>
      <c r="F99" s="252"/>
      <c r="G99" s="252"/>
      <c r="H99" s="252"/>
      <c r="I99" s="253"/>
      <c r="M99" s="2"/>
      <c r="U99" s="161"/>
    </row>
    <row r="100" spans="2:21" ht="15" customHeight="1" thickBot="1">
      <c r="B100" s="54" t="s">
        <v>15</v>
      </c>
      <c r="C100" s="54" t="s">
        <v>29</v>
      </c>
      <c r="D100" s="54" t="s">
        <v>17</v>
      </c>
      <c r="E100" s="54" t="s">
        <v>2</v>
      </c>
      <c r="F100" s="54" t="s">
        <v>21</v>
      </c>
      <c r="G100" s="54" t="s">
        <v>30</v>
      </c>
      <c r="H100" s="54" t="s">
        <v>6</v>
      </c>
      <c r="I100" s="54" t="s">
        <v>11</v>
      </c>
      <c r="M100" s="2"/>
      <c r="U100" s="161"/>
    </row>
    <row r="101" spans="2:21" ht="15" customHeight="1" thickTop="1">
      <c r="B101" s="109">
        <f>'[1]POOL-joueus'!$B$212</f>
        <v>39.178082191780824</v>
      </c>
      <c r="C101" s="109" t="str">
        <f>'[1]POOL-joueus'!$C$212</f>
        <v>S.J.</v>
      </c>
      <c r="D101" s="111" t="str">
        <f>'[1]POOL-joueus'!$D$212</f>
        <v>Jeremy Roenick</v>
      </c>
      <c r="E101" s="109">
        <f>('[1]POOL-joueus'!$E$212)-4</f>
        <v>29</v>
      </c>
      <c r="F101" s="109">
        <f>('[1]POOL-joueus'!$F$212)-0</f>
        <v>3</v>
      </c>
      <c r="G101" s="109">
        <f>('[1]POOL-joueus'!$G$212)-0</f>
        <v>7</v>
      </c>
      <c r="H101" s="22">
        <f aca="true" t="shared" si="15" ref="H101:H110">SUM(F101:G101)</f>
        <v>10</v>
      </c>
      <c r="I101" s="23">
        <f aca="true" t="shared" si="16" ref="I101:I110">H101/E101</f>
        <v>0.3448275862068966</v>
      </c>
      <c r="M101" s="2"/>
      <c r="U101" s="161"/>
    </row>
    <row r="102" spans="2:21" ht="15" customHeight="1">
      <c r="B102" s="109">
        <f>'[1]POOL-joueus'!$B$77</f>
        <v>29.084931506849315</v>
      </c>
      <c r="C102" s="109" t="str">
        <f>'[1]POOL-joueus'!$C$77</f>
        <v>Nyr</v>
      </c>
      <c r="D102" s="111" t="str">
        <f>'[1]POOL-joueus'!$D$77</f>
        <v>Nik Antropov</v>
      </c>
      <c r="E102" s="109">
        <f>('[1]POOL-joueus'!$E$77)-33</f>
        <v>34</v>
      </c>
      <c r="F102" s="109">
        <f>('[1]POOL-joueus'!$F$77)-9</f>
        <v>13</v>
      </c>
      <c r="G102" s="109">
        <f>('[1]POOL-joueus'!$G$77)-14</f>
        <v>13</v>
      </c>
      <c r="H102" s="22">
        <f t="shared" si="15"/>
        <v>26</v>
      </c>
      <c r="I102" s="23">
        <f t="shared" si="16"/>
        <v>0.7647058823529411</v>
      </c>
      <c r="M102" s="2"/>
      <c r="U102" s="161"/>
    </row>
    <row r="103" spans="2:21" ht="15" customHeight="1">
      <c r="B103" s="109">
        <f>'[1]POOL-joueus'!$B$111</f>
        <v>32.38082191780822</v>
      </c>
      <c r="C103" s="109" t="str">
        <f>'[1]POOL-joueus'!$C$111</f>
        <v>Car</v>
      </c>
      <c r="D103" s="111" t="str">
        <f>'[1]POOL-joueus'!$D$111</f>
        <v>Matt Cullen</v>
      </c>
      <c r="E103" s="109">
        <f>'[1]POOL-joueus'!$E$111</f>
        <v>65</v>
      </c>
      <c r="F103" s="109">
        <f>'[1]POOL-joueus'!$F$111</f>
        <v>20</v>
      </c>
      <c r="G103" s="109">
        <f>'[1]POOL-joueus'!$G$111</f>
        <v>19</v>
      </c>
      <c r="H103" s="22">
        <f t="shared" si="15"/>
        <v>39</v>
      </c>
      <c r="I103" s="23">
        <f t="shared" si="16"/>
        <v>0.6</v>
      </c>
      <c r="M103" s="2"/>
      <c r="U103" s="161"/>
    </row>
    <row r="104" spans="2:21" ht="15" customHeight="1">
      <c r="B104" s="107">
        <f>'[1]POOL-joueus'!$B$124</f>
        <v>32.87123287671233</v>
      </c>
      <c r="C104" s="107" t="str">
        <f>'[1]POOL-joueus'!$C$124</f>
        <v>Phx</v>
      </c>
      <c r="D104" s="124" t="str">
        <f>'[1]POOL-joueus'!$D$124</f>
        <v>Steven Reinprecht</v>
      </c>
      <c r="E104" s="107">
        <f>'[1]POOL-joueus'!$E$124</f>
        <v>63</v>
      </c>
      <c r="F104" s="107">
        <f>'[1]POOL-joueus'!$F$124</f>
        <v>12</v>
      </c>
      <c r="G104" s="107">
        <f>'[1]POOL-joueus'!$G$124</f>
        <v>22</v>
      </c>
      <c r="H104" s="22">
        <f>SUM(F104:G104)</f>
        <v>34</v>
      </c>
      <c r="I104" s="23">
        <f>H104/E104</f>
        <v>0.5396825396825397</v>
      </c>
      <c r="M104" s="2"/>
      <c r="U104" s="161"/>
    </row>
    <row r="105" spans="2:21" ht="15" customHeight="1">
      <c r="B105" s="185">
        <f>'[1]POOL-joueus'!$B$125</f>
        <v>33.38630136986301</v>
      </c>
      <c r="C105" s="185" t="str">
        <f>'[1]POOL-joueus'!$C$125</f>
        <v>Atl</v>
      </c>
      <c r="D105" s="186" t="str">
        <f>'[1]POOL-joueus'!$D$125</f>
        <v>Eric Perrin</v>
      </c>
      <c r="E105" s="185">
        <v>11</v>
      </c>
      <c r="F105" s="185">
        <v>0</v>
      </c>
      <c r="G105" s="185">
        <v>2</v>
      </c>
      <c r="H105" s="139">
        <f>SUM(F105:G105)</f>
        <v>2</v>
      </c>
      <c r="I105" s="182">
        <f>H105/E105</f>
        <v>0.18181818181818182</v>
      </c>
      <c r="M105" s="2"/>
      <c r="U105" s="161"/>
    </row>
    <row r="106" spans="2:21" ht="12.75">
      <c r="B106" s="107">
        <f>'[1]POOL-joueus'!$B$145</f>
        <v>39.273972602739725</v>
      </c>
      <c r="C106" s="107" t="str">
        <f>'[1]POOL-joueus'!$C$145</f>
        <v>Wsh</v>
      </c>
      <c r="D106" s="124" t="str">
        <f>'[1]POOL-joueus'!$D$145</f>
        <v>Sergei Fedorov</v>
      </c>
      <c r="E106" s="107">
        <f>'[1]POOL-joueus'!$E$145</f>
        <v>41</v>
      </c>
      <c r="F106" s="107">
        <f>'[1]POOL-joueus'!$F$145</f>
        <v>8</v>
      </c>
      <c r="G106" s="107">
        <f>'[1]POOL-joueus'!$G$145</f>
        <v>20</v>
      </c>
      <c r="H106" s="22">
        <f>SUM(F106:G106)</f>
        <v>28</v>
      </c>
      <c r="I106" s="23">
        <f>H106/E106</f>
        <v>0.6829268292682927</v>
      </c>
      <c r="M106" s="2"/>
      <c r="U106" s="161"/>
    </row>
    <row r="107" spans="2:21" ht="15" customHeight="1">
      <c r="B107" s="183">
        <f>'[1]POOL-joueus'!$B$57</f>
        <v>24.893150684931506</v>
      </c>
      <c r="C107" s="183" t="str">
        <f>'[1]POOL-joueus'!$C$57</f>
        <v>Min</v>
      </c>
      <c r="D107" s="184" t="str">
        <f>'[1]POOL-joueus'!$D$57</f>
        <v>Pierre-Marc Bouchard</v>
      </c>
      <c r="E107" s="183">
        <v>48</v>
      </c>
      <c r="F107" s="183">
        <v>11</v>
      </c>
      <c r="G107" s="183">
        <v>19</v>
      </c>
      <c r="H107" s="139">
        <f>SUM(F107:G107)</f>
        <v>30</v>
      </c>
      <c r="I107" s="182">
        <f>H107/E107</f>
        <v>0.625</v>
      </c>
      <c r="M107" s="2"/>
      <c r="U107" s="161"/>
    </row>
    <row r="108" spans="2:21" ht="15" customHeight="1">
      <c r="B108" s="185">
        <f>'[1]POOL-joueus'!$B$178</f>
        <v>24.54794520547945</v>
      </c>
      <c r="C108" s="185" t="str">
        <f>'[1]POOL-joueus'!$C$178</f>
        <v>Van</v>
      </c>
      <c r="D108" s="186" t="str">
        <f>'[1]POOL-joueus'!$D$178</f>
        <v>Ryan Kesler</v>
      </c>
      <c r="E108" s="185">
        <v>46</v>
      </c>
      <c r="F108" s="185">
        <v>16</v>
      </c>
      <c r="G108" s="185">
        <v>16</v>
      </c>
      <c r="H108" s="139">
        <f>SUM(F108:G108)</f>
        <v>32</v>
      </c>
      <c r="I108" s="182">
        <f>H108/E108</f>
        <v>0.6956521739130435</v>
      </c>
      <c r="M108" s="2"/>
      <c r="U108" s="161"/>
    </row>
    <row r="109" spans="2:21" ht="15" customHeight="1" thickBot="1">
      <c r="B109" s="107">
        <f>'[1]POOL-joueus'!$B$34</f>
        <v>31.454794520547946</v>
      </c>
      <c r="C109" s="107" t="str">
        <f>'[1]POOL-joueus'!$C$34</f>
        <v>Phi</v>
      </c>
      <c r="D109" s="124" t="str">
        <f>'[1]POOL-joueus'!$D$34</f>
        <v>Daniel Briere</v>
      </c>
      <c r="E109" s="123">
        <f>('[1]POOL-joueus'!$E$34)-9</f>
        <v>3</v>
      </c>
      <c r="F109" s="123">
        <f>('[1]POOL-joueus'!$F$34)-5</f>
        <v>0</v>
      </c>
      <c r="G109" s="123">
        <f>('[1]POOL-joueus'!$G$34)-4</f>
        <v>0</v>
      </c>
      <c r="H109" s="40">
        <f t="shared" si="15"/>
        <v>0</v>
      </c>
      <c r="I109" s="41">
        <f t="shared" si="16"/>
        <v>0</v>
      </c>
      <c r="J109" s="1" t="s">
        <v>234</v>
      </c>
      <c r="M109" s="2"/>
      <c r="U109" s="161"/>
    </row>
    <row r="110" spans="2:21" ht="15" customHeight="1">
      <c r="B110" s="278" t="s">
        <v>7</v>
      </c>
      <c r="C110" s="281"/>
      <c r="D110" s="279"/>
      <c r="E110" s="22">
        <f>SUM(E101:E109)</f>
        <v>340</v>
      </c>
      <c r="F110" s="22">
        <f>SUM(F101:F109)</f>
        <v>83</v>
      </c>
      <c r="G110" s="22">
        <f>SUM(G101:G109)</f>
        <v>118</v>
      </c>
      <c r="H110" s="22">
        <f t="shared" si="15"/>
        <v>201</v>
      </c>
      <c r="I110" s="23">
        <f t="shared" si="16"/>
        <v>0.5911764705882353</v>
      </c>
      <c r="M110" s="2"/>
      <c r="U110" s="161"/>
    </row>
    <row r="111" spans="13:21" ht="15" customHeight="1">
      <c r="M111" s="2"/>
      <c r="U111" s="161"/>
    </row>
    <row r="112" spans="2:21" ht="15" customHeight="1">
      <c r="B112" s="251" t="s">
        <v>25</v>
      </c>
      <c r="C112" s="252"/>
      <c r="D112" s="252"/>
      <c r="E112" s="252"/>
      <c r="F112" s="252"/>
      <c r="G112" s="252"/>
      <c r="H112" s="252"/>
      <c r="I112" s="253"/>
      <c r="M112" s="2"/>
      <c r="U112" s="161"/>
    </row>
    <row r="113" spans="2:21" ht="15" customHeight="1" thickBot="1">
      <c r="B113" s="54" t="s">
        <v>15</v>
      </c>
      <c r="C113" s="54" t="s">
        <v>29</v>
      </c>
      <c r="D113" s="54" t="s">
        <v>17</v>
      </c>
      <c r="E113" s="54" t="s">
        <v>2</v>
      </c>
      <c r="F113" s="54" t="s">
        <v>21</v>
      </c>
      <c r="G113" s="54" t="s">
        <v>30</v>
      </c>
      <c r="H113" s="54" t="s">
        <v>6</v>
      </c>
      <c r="I113" s="54" t="s">
        <v>11</v>
      </c>
      <c r="M113" s="2"/>
      <c r="U113" s="161"/>
    </row>
    <row r="114" spans="2:21" ht="15" customHeight="1" thickTop="1">
      <c r="B114" s="109">
        <f>'[1]POOL-joueus'!$B$390</f>
        <v>26.024657534246575</v>
      </c>
      <c r="C114" s="109" t="str">
        <f>'[1]POOL-joueus'!$C$390</f>
        <v>T.B.</v>
      </c>
      <c r="D114" s="111" t="str">
        <f>'[1]POOL-joueus'!$D$390</f>
        <v>Lukas Krajicek</v>
      </c>
      <c r="E114" s="109">
        <f>'[1]POOL-joueus'!$E$390</f>
        <v>58</v>
      </c>
      <c r="F114" s="109">
        <f>'[1]POOL-joueus'!$F$390</f>
        <v>1</v>
      </c>
      <c r="G114" s="109">
        <f>'[1]POOL-joueus'!$G$390</f>
        <v>11</v>
      </c>
      <c r="H114" s="22">
        <f aca="true" t="shared" si="17" ref="H114:H120">SUM(F114:G114)</f>
        <v>12</v>
      </c>
      <c r="I114" s="23">
        <f aca="true" t="shared" si="18" ref="I114:I120">H114/E114</f>
        <v>0.20689655172413793</v>
      </c>
      <c r="L114" s="129"/>
      <c r="M114" s="2"/>
      <c r="U114" s="161"/>
    </row>
    <row r="115" spans="2:21" ht="15" customHeight="1">
      <c r="B115" s="107">
        <f>'[1]POOL-joueus'!$B$247</f>
        <v>34.38356164383562</v>
      </c>
      <c r="C115" s="107" t="str">
        <f>'[1]POOL-joueus'!$C$247</f>
        <v>Col</v>
      </c>
      <c r="D115" s="124" t="str">
        <f>'[1]POOL-joueus'!$D$247</f>
        <v>Ruslan Salei</v>
      </c>
      <c r="E115" s="107">
        <f>'[1]POOL-joueus'!$E$247</f>
        <v>66</v>
      </c>
      <c r="F115" s="107">
        <f>'[1]POOL-joueus'!$F$247</f>
        <v>4</v>
      </c>
      <c r="G115" s="107">
        <f>'[1]POOL-joueus'!$G$247</f>
        <v>16</v>
      </c>
      <c r="H115" s="22">
        <f t="shared" si="17"/>
        <v>20</v>
      </c>
      <c r="I115" s="23">
        <f t="shared" si="18"/>
        <v>0.30303030303030304</v>
      </c>
      <c r="L115" s="129"/>
      <c r="M115" s="2"/>
      <c r="U115" s="161"/>
    </row>
    <row r="116" spans="2:21" ht="15" customHeight="1">
      <c r="B116" s="107">
        <f>'[1]POOL-joueus'!$B$275</f>
        <v>31.484931506849314</v>
      </c>
      <c r="C116" s="107" t="str">
        <f>'[1]POOL-joueus'!$C$275</f>
        <v>Buf</v>
      </c>
      <c r="D116" s="124" t="str">
        <f>'[1]POOL-joueus'!$D$275</f>
        <v>Toni Lydman</v>
      </c>
      <c r="E116" s="107">
        <f>'[1]POOL-joueus'!$E$275</f>
        <v>66</v>
      </c>
      <c r="F116" s="107">
        <f>'[1]POOL-joueus'!$F$275</f>
        <v>1</v>
      </c>
      <c r="G116" s="107">
        <f>'[1]POOL-joueus'!$G$275</f>
        <v>15</v>
      </c>
      <c r="H116" s="22">
        <f t="shared" si="17"/>
        <v>16</v>
      </c>
      <c r="I116" s="23">
        <f t="shared" si="18"/>
        <v>0.24242424242424243</v>
      </c>
      <c r="L116" s="129"/>
      <c r="U116" s="161"/>
    </row>
    <row r="117" spans="2:21" ht="15" customHeight="1">
      <c r="B117" s="107">
        <f>'[1]POOL-joueus'!$B$399</f>
        <v>26.386301369863013</v>
      </c>
      <c r="C117" s="107" t="str">
        <f>'[1]POOL-joueus'!$C$399</f>
        <v>N.J.</v>
      </c>
      <c r="D117" s="124" t="str">
        <f>'[1]POOL-joueus'!$D$399</f>
        <v>Andy Greene</v>
      </c>
      <c r="E117" s="107">
        <f>('[1]POOL-joueus'!$E$399)-6</f>
        <v>35</v>
      </c>
      <c r="F117" s="107">
        <f>('[1]POOL-joueus'!$F$399)-1</f>
        <v>0</v>
      </c>
      <c r="G117" s="107">
        <f>('[1]POOL-joueus'!$G$399)-5</f>
        <v>2</v>
      </c>
      <c r="H117" s="22">
        <f>SUM(F117:G117)</f>
        <v>2</v>
      </c>
      <c r="I117" s="23">
        <f>H117/E117</f>
        <v>0.05714285714285714</v>
      </c>
      <c r="J117" s="1" t="s">
        <v>234</v>
      </c>
      <c r="L117" s="129"/>
      <c r="U117" s="161"/>
    </row>
    <row r="118" spans="2:21" ht="15" customHeight="1">
      <c r="B118" s="185">
        <f>'[1]POOL-joueus'!$B$284</f>
        <v>30.572602739726026</v>
      </c>
      <c r="C118" s="185" t="str">
        <f>'[1]POOL-joueus'!$C$284</f>
        <v>Nyr</v>
      </c>
      <c r="D118" s="186" t="str">
        <f>'[1]POOL-joueus'!$D$284</f>
        <v>Derek Morris</v>
      </c>
      <c r="E118" s="185">
        <v>9</v>
      </c>
      <c r="F118" s="185">
        <v>0</v>
      </c>
      <c r="G118" s="185">
        <v>0</v>
      </c>
      <c r="H118" s="139">
        <f t="shared" si="17"/>
        <v>0</v>
      </c>
      <c r="I118" s="182">
        <f t="shared" si="18"/>
        <v>0</v>
      </c>
      <c r="L118" s="129"/>
      <c r="U118" s="161"/>
    </row>
    <row r="119" spans="2:21" ht="15" customHeight="1" thickBot="1">
      <c r="B119" s="28"/>
      <c r="C119" s="47"/>
      <c r="D119" s="47"/>
      <c r="E119" s="114"/>
      <c r="F119" s="114"/>
      <c r="G119" s="114"/>
      <c r="H119" s="40">
        <f t="shared" si="17"/>
        <v>0</v>
      </c>
      <c r="I119" s="41" t="e">
        <f t="shared" si="18"/>
        <v>#DIV/0!</v>
      </c>
      <c r="L119" s="129"/>
      <c r="U119" s="161"/>
    </row>
    <row r="120" spans="2:21" ht="15" customHeight="1">
      <c r="B120" s="278" t="s">
        <v>7</v>
      </c>
      <c r="C120" s="281"/>
      <c r="D120" s="279"/>
      <c r="E120" s="22">
        <f>SUM(E114:E119)</f>
        <v>234</v>
      </c>
      <c r="F120" s="22">
        <f>SUM(F114:F119)</f>
        <v>6</v>
      </c>
      <c r="G120" s="22">
        <f>SUM(G114:G119)</f>
        <v>44</v>
      </c>
      <c r="H120" s="22">
        <f t="shared" si="17"/>
        <v>50</v>
      </c>
      <c r="I120" s="23">
        <f t="shared" si="18"/>
        <v>0.21367521367521367</v>
      </c>
      <c r="L120" s="129"/>
      <c r="U120" s="161"/>
    </row>
    <row r="121" spans="12:21" ht="15" customHeight="1">
      <c r="L121" s="129"/>
      <c r="U121" s="161"/>
    </row>
    <row r="122" spans="2:21" ht="15" customHeight="1">
      <c r="B122" s="251" t="s">
        <v>141</v>
      </c>
      <c r="C122" s="252"/>
      <c r="D122" s="252"/>
      <c r="E122" s="252"/>
      <c r="F122" s="252"/>
      <c r="G122" s="252"/>
      <c r="H122" s="252"/>
      <c r="I122" s="252"/>
      <c r="J122" s="252"/>
      <c r="K122" s="253"/>
      <c r="L122" s="130"/>
      <c r="U122" s="161"/>
    </row>
    <row r="123" spans="2:21" ht="15" customHeight="1" thickBot="1">
      <c r="B123" s="54" t="s">
        <v>15</v>
      </c>
      <c r="C123" s="54" t="s">
        <v>16</v>
      </c>
      <c r="D123" s="54" t="s">
        <v>17</v>
      </c>
      <c r="E123" s="54" t="s">
        <v>2</v>
      </c>
      <c r="F123" s="54" t="s">
        <v>18</v>
      </c>
      <c r="G123" s="54" t="s">
        <v>19</v>
      </c>
      <c r="H123" s="54" t="s">
        <v>20</v>
      </c>
      <c r="I123" s="54" t="s">
        <v>21</v>
      </c>
      <c r="J123" s="54" t="s">
        <v>22</v>
      </c>
      <c r="K123" s="54" t="s">
        <v>6</v>
      </c>
      <c r="L123" s="81"/>
      <c r="U123" s="161"/>
    </row>
    <row r="124" spans="2:21" ht="15" customHeight="1" thickTop="1">
      <c r="B124" s="121">
        <f>'[1]Pool-gardien'!$B$95</f>
        <v>23.002739726027396</v>
      </c>
      <c r="C124" s="121" t="str">
        <f>'[1]Pool-gardien'!$C$95</f>
        <v>Van</v>
      </c>
      <c r="D124" s="122" t="str">
        <f>'[1]Pool-gardien'!$D$95</f>
        <v>Cory Schneider</v>
      </c>
      <c r="E124" s="121">
        <f>'[1]Pool-gardien'!$E$95</f>
        <v>8</v>
      </c>
      <c r="F124" s="121">
        <f>'[1]Pool-gardien'!$F$95</f>
        <v>2</v>
      </c>
      <c r="G124" s="121">
        <f>'[1]Pool-gardien'!$G$95</f>
        <v>1</v>
      </c>
      <c r="H124" s="121">
        <f>'[1]Pool-gardien'!$H$95</f>
        <v>0</v>
      </c>
      <c r="I124" s="121">
        <f>'[1]Pool-gardien'!$I$95</f>
        <v>0</v>
      </c>
      <c r="J124" s="121">
        <f>'[1]Pool-gardien'!$J$95</f>
        <v>0</v>
      </c>
      <c r="K124" s="43">
        <f>(F124*2)+G124+(H124*4)+(I124*10)+J124</f>
        <v>5</v>
      </c>
      <c r="M124" s="2"/>
      <c r="P124" s="143"/>
      <c r="Q124" s="128"/>
      <c r="R124" s="128"/>
      <c r="S124" s="128"/>
      <c r="U124" s="161"/>
    </row>
    <row r="125" spans="2:21" ht="15" customHeight="1" thickBot="1">
      <c r="B125" s="108"/>
      <c r="C125" s="108"/>
      <c r="D125" s="110"/>
      <c r="E125" s="113"/>
      <c r="F125" s="113"/>
      <c r="G125" s="113"/>
      <c r="H125" s="113"/>
      <c r="I125" s="113"/>
      <c r="J125" s="113"/>
      <c r="K125" s="36">
        <f>(F125*2)+G125+(H125*4)+(I125*10)+J125</f>
        <v>0</v>
      </c>
      <c r="M125" s="2"/>
      <c r="U125" s="161"/>
    </row>
    <row r="126" spans="2:21" ht="15" customHeight="1">
      <c r="B126" s="274" t="s">
        <v>26</v>
      </c>
      <c r="C126" s="275"/>
      <c r="D126" s="255"/>
      <c r="E126" s="14">
        <f aca="true" t="shared" si="19" ref="E126:J126">SUM(E123:E125)</f>
        <v>8</v>
      </c>
      <c r="F126" s="14">
        <f t="shared" si="19"/>
        <v>2</v>
      </c>
      <c r="G126" s="14">
        <f t="shared" si="19"/>
        <v>1</v>
      </c>
      <c r="H126" s="14">
        <f t="shared" si="19"/>
        <v>0</v>
      </c>
      <c r="I126" s="14">
        <f t="shared" si="19"/>
        <v>0</v>
      </c>
      <c r="J126" s="14">
        <f t="shared" si="19"/>
        <v>0</v>
      </c>
      <c r="K126" s="14">
        <f>(F126*2)+G126+(H126*4)+(I126*10)+J126</f>
        <v>5</v>
      </c>
      <c r="M126" s="2"/>
      <c r="U126" s="161"/>
    </row>
    <row r="127" spans="2:21" ht="15" customHeight="1">
      <c r="B127" s="251" t="s">
        <v>140</v>
      </c>
      <c r="C127" s="252"/>
      <c r="D127" s="252"/>
      <c r="E127" s="252"/>
      <c r="F127" s="252"/>
      <c r="G127" s="252"/>
      <c r="H127" s="252"/>
      <c r="I127" s="253"/>
      <c r="M127" s="2"/>
      <c r="U127" s="161"/>
    </row>
    <row r="128" spans="1:21" ht="15" customHeight="1" thickBot="1">
      <c r="A128" s="54" t="s">
        <v>143</v>
      </c>
      <c r="B128" s="54" t="s">
        <v>15</v>
      </c>
      <c r="C128" s="54" t="s">
        <v>29</v>
      </c>
      <c r="D128" s="54" t="s">
        <v>17</v>
      </c>
      <c r="E128" s="54" t="s">
        <v>2</v>
      </c>
      <c r="F128" s="54" t="s">
        <v>21</v>
      </c>
      <c r="G128" s="54" t="s">
        <v>30</v>
      </c>
      <c r="H128" s="54" t="s">
        <v>6</v>
      </c>
      <c r="I128" s="54" t="s">
        <v>11</v>
      </c>
      <c r="M128" s="2"/>
      <c r="U128" s="161"/>
    </row>
    <row r="129" spans="1:21" ht="15" customHeight="1" thickTop="1">
      <c r="A129" s="121" t="s">
        <v>235</v>
      </c>
      <c r="B129" s="121">
        <f>'[1]POOL-joueus'!$B$778</f>
        <v>23.92876712328767</v>
      </c>
      <c r="C129" s="121" t="str">
        <f>'[1]POOL-joueus'!$C$778</f>
        <v>Ana</v>
      </c>
      <c r="D129" s="172" t="str">
        <f>'[1]POOL-joueus'!$D$778</f>
        <v>Brian Salcido</v>
      </c>
      <c r="E129" s="121">
        <f>'[1]POOL-joueus'!$E$778</f>
        <v>2</v>
      </c>
      <c r="F129" s="121">
        <f>'[1]POOL-joueus'!$F$778</f>
        <v>0</v>
      </c>
      <c r="G129" s="121">
        <f>'[1]POOL-joueus'!$G$778</f>
        <v>1</v>
      </c>
      <c r="H129" s="28">
        <f>SUM(F129:G129)</f>
        <v>1</v>
      </c>
      <c r="I129" s="29">
        <f>H129/E129</f>
        <v>0.5</v>
      </c>
      <c r="M129" s="2"/>
      <c r="U129" s="161"/>
    </row>
    <row r="130" spans="1:21" ht="15" customHeight="1" thickBot="1">
      <c r="A130" s="108" t="s">
        <v>235</v>
      </c>
      <c r="B130" s="107">
        <f>'[1]POOL-joueus'!$B$776</f>
        <v>24.41917808219178</v>
      </c>
      <c r="C130" s="107" t="str">
        <f>'[1]POOL-joueus'!$C$776</f>
        <v>Wsh</v>
      </c>
      <c r="D130" s="124" t="str">
        <f>'[1]POOL-joueus'!$D$776</f>
        <v>Sami Lepisto</v>
      </c>
      <c r="E130" s="123">
        <f>(('[1]POOL-joueus'!$E$776)-5)-2</f>
        <v>0</v>
      </c>
      <c r="F130" s="123">
        <f>(('[1]POOL-joueus'!$F$776)-0)-0</f>
        <v>0</v>
      </c>
      <c r="G130" s="123">
        <f>(('[1]POOL-joueus'!$G$776)-4)-0</f>
        <v>0</v>
      </c>
      <c r="H130" s="114">
        <f>SUM(F130:G130)</f>
        <v>0</v>
      </c>
      <c r="I130" s="115" t="e">
        <f>H130/E130</f>
        <v>#DIV/0!</v>
      </c>
      <c r="M130" s="2"/>
      <c r="U130" s="161"/>
    </row>
    <row r="131" spans="2:21" ht="15" customHeight="1">
      <c r="B131" s="278" t="s">
        <v>7</v>
      </c>
      <c r="C131" s="281"/>
      <c r="D131" s="279"/>
      <c r="E131" s="22">
        <f>SUM(E129:E130)</f>
        <v>2</v>
      </c>
      <c r="F131" s="22">
        <f>SUM(F129:F130)</f>
        <v>0</v>
      </c>
      <c r="G131" s="22">
        <f>SUM(G129:G130)</f>
        <v>1</v>
      </c>
      <c r="H131" s="22">
        <f>SUM(H129:H130)</f>
        <v>1</v>
      </c>
      <c r="I131" s="23">
        <f>H131/E131</f>
        <v>0.5</v>
      </c>
      <c r="M131" s="2"/>
      <c r="U131" s="161"/>
    </row>
    <row r="132" spans="2:21" ht="15" customHeight="1">
      <c r="B132" s="76"/>
      <c r="C132" s="76"/>
      <c r="D132" s="76"/>
      <c r="E132" s="53"/>
      <c r="F132" s="53"/>
      <c r="G132" s="53"/>
      <c r="H132" s="53"/>
      <c r="I132" s="77"/>
      <c r="M132" s="2"/>
      <c r="U132" s="161"/>
    </row>
    <row r="133" spans="2:21" ht="15" customHeight="1">
      <c r="B133" s="278" t="s">
        <v>142</v>
      </c>
      <c r="C133" s="281"/>
      <c r="D133" s="279"/>
      <c r="E133" s="109">
        <f>E126+E131</f>
        <v>10</v>
      </c>
      <c r="F133" s="112"/>
      <c r="G133" s="112"/>
      <c r="H133" s="28">
        <f>K126+H131</f>
        <v>6</v>
      </c>
      <c r="I133" s="29">
        <f>H133/E133</f>
        <v>0.6</v>
      </c>
      <c r="M133" s="2"/>
      <c r="U133" s="161"/>
    </row>
    <row r="134" spans="2:21" ht="15" customHeight="1" thickBot="1">
      <c r="B134" s="76"/>
      <c r="C134" s="76"/>
      <c r="D134" s="76"/>
      <c r="E134" s="53"/>
      <c r="F134" s="53"/>
      <c r="G134" s="53"/>
      <c r="H134" s="53"/>
      <c r="I134" s="77"/>
      <c r="M134" s="2"/>
      <c r="N134" s="86" t="s">
        <v>82</v>
      </c>
      <c r="O134" s="86" t="s">
        <v>81</v>
      </c>
      <c r="U134" s="161"/>
    </row>
    <row r="135" spans="2:21" ht="15" customHeight="1">
      <c r="B135" s="78"/>
      <c r="C135" s="78"/>
      <c r="D135" s="78"/>
      <c r="E135" s="79"/>
      <c r="F135" s="79"/>
      <c r="G135" s="79"/>
      <c r="H135" s="79"/>
      <c r="I135" s="80"/>
      <c r="J135" s="81"/>
      <c r="K135" s="81"/>
      <c r="M135" s="2"/>
      <c r="N135" s="85" t="s">
        <v>71</v>
      </c>
      <c r="O135" s="87">
        <v>3</v>
      </c>
      <c r="U135" s="161"/>
    </row>
    <row r="136" spans="13:21" ht="15" customHeight="1" thickBot="1">
      <c r="M136" s="2"/>
      <c r="N136" s="83" t="s">
        <v>72</v>
      </c>
      <c r="O136" s="88">
        <v>9</v>
      </c>
      <c r="U136" s="161"/>
    </row>
    <row r="137" spans="2:21" ht="15" customHeight="1" thickBot="1" thickTop="1">
      <c r="B137" s="284" t="s">
        <v>49</v>
      </c>
      <c r="C137" s="285"/>
      <c r="D137" s="285"/>
      <c r="E137" s="285"/>
      <c r="F137" s="285"/>
      <c r="G137" s="285"/>
      <c r="H137" s="285"/>
      <c r="I137" s="285"/>
      <c r="J137" s="285"/>
      <c r="K137" s="286"/>
      <c r="M137" s="2"/>
      <c r="N137" s="91" t="s">
        <v>238</v>
      </c>
      <c r="O137" s="92">
        <f>SUM(O135:O136)</f>
        <v>12</v>
      </c>
      <c r="U137" s="161"/>
    </row>
    <row r="138" spans="2:21" ht="15" customHeight="1">
      <c r="B138" s="287" t="s">
        <v>50</v>
      </c>
      <c r="C138" s="288"/>
      <c r="D138" s="58" t="s">
        <v>51</v>
      </c>
      <c r="E138" s="313" t="s">
        <v>52</v>
      </c>
      <c r="F138" s="314"/>
      <c r="G138" s="313" t="s">
        <v>53</v>
      </c>
      <c r="H138" s="323"/>
      <c r="I138" s="314"/>
      <c r="J138" s="313" t="s">
        <v>54</v>
      </c>
      <c r="K138" s="314"/>
      <c r="M138" s="2"/>
      <c r="N138" s="84"/>
      <c r="O138" s="89"/>
      <c r="U138" s="161"/>
    </row>
    <row r="139" spans="2:21" ht="15" customHeight="1">
      <c r="B139" s="259" t="s">
        <v>185</v>
      </c>
      <c r="C139" s="260"/>
      <c r="D139" s="47" t="s">
        <v>183</v>
      </c>
      <c r="E139" s="259" t="s">
        <v>184</v>
      </c>
      <c r="F139" s="260"/>
      <c r="G139" s="259" t="s">
        <v>182</v>
      </c>
      <c r="H139" s="261"/>
      <c r="I139" s="260"/>
      <c r="J139" s="259" t="s">
        <v>181</v>
      </c>
      <c r="K139" s="260"/>
      <c r="M139" s="2"/>
      <c r="N139" s="83" t="s">
        <v>73</v>
      </c>
      <c r="O139" s="90">
        <v>4</v>
      </c>
      <c r="U139" s="161"/>
    </row>
    <row r="140" spans="2:21" ht="15" customHeight="1">
      <c r="B140" s="259" t="s">
        <v>185</v>
      </c>
      <c r="C140" s="260"/>
      <c r="D140" s="151" t="s">
        <v>191</v>
      </c>
      <c r="E140" s="259" t="s">
        <v>192</v>
      </c>
      <c r="F140" s="260"/>
      <c r="G140" s="262" t="s">
        <v>193</v>
      </c>
      <c r="H140" s="261"/>
      <c r="I140" s="260"/>
      <c r="J140" s="259" t="s">
        <v>190</v>
      </c>
      <c r="K140" s="260"/>
      <c r="N140" s="83" t="s">
        <v>74</v>
      </c>
      <c r="O140" s="90">
        <v>4</v>
      </c>
      <c r="U140" s="161"/>
    </row>
    <row r="141" spans="2:21" ht="15" customHeight="1">
      <c r="B141" s="259" t="s">
        <v>185</v>
      </c>
      <c r="C141" s="260"/>
      <c r="D141" s="47" t="s">
        <v>224</v>
      </c>
      <c r="E141" s="259" t="s">
        <v>212</v>
      </c>
      <c r="F141" s="260"/>
      <c r="G141" s="262" t="s">
        <v>225</v>
      </c>
      <c r="H141" s="261"/>
      <c r="I141" s="260"/>
      <c r="J141" s="259" t="s">
        <v>223</v>
      </c>
      <c r="K141" s="260"/>
      <c r="N141" s="83" t="s">
        <v>75</v>
      </c>
      <c r="O141" s="90"/>
      <c r="U141" s="161"/>
    </row>
    <row r="142" spans="2:21" ht="12.75">
      <c r="B142" s="259" t="s">
        <v>244</v>
      </c>
      <c r="C142" s="260"/>
      <c r="D142" s="47" t="s">
        <v>253</v>
      </c>
      <c r="E142" s="259" t="s">
        <v>254</v>
      </c>
      <c r="F142" s="260"/>
      <c r="G142" s="259" t="s">
        <v>255</v>
      </c>
      <c r="H142" s="261"/>
      <c r="I142" s="260"/>
      <c r="J142" s="259" t="s">
        <v>256</v>
      </c>
      <c r="K142" s="260"/>
      <c r="N142" s="83" t="s">
        <v>76</v>
      </c>
      <c r="O142" s="90"/>
      <c r="U142" s="161"/>
    </row>
    <row r="143" spans="2:21" ht="12.75">
      <c r="B143" s="259" t="s">
        <v>234</v>
      </c>
      <c r="C143" s="260"/>
      <c r="D143" s="47" t="s">
        <v>182</v>
      </c>
      <c r="E143" s="259" t="s">
        <v>250</v>
      </c>
      <c r="F143" s="260"/>
      <c r="G143" s="259" t="s">
        <v>314</v>
      </c>
      <c r="H143" s="261"/>
      <c r="I143" s="260"/>
      <c r="J143" s="259" t="s">
        <v>315</v>
      </c>
      <c r="K143" s="260"/>
      <c r="N143" s="83" t="s">
        <v>79</v>
      </c>
      <c r="O143" s="90"/>
      <c r="U143" s="161"/>
    </row>
    <row r="144" spans="2:21" ht="12.75">
      <c r="B144" s="259" t="s">
        <v>244</v>
      </c>
      <c r="C144" s="260"/>
      <c r="D144" s="47" t="s">
        <v>334</v>
      </c>
      <c r="E144" s="259" t="s">
        <v>254</v>
      </c>
      <c r="F144" s="260"/>
      <c r="G144" s="259" t="s">
        <v>335</v>
      </c>
      <c r="H144" s="261"/>
      <c r="I144" s="260"/>
      <c r="J144" s="259" t="s">
        <v>336</v>
      </c>
      <c r="K144" s="260"/>
      <c r="N144" s="83" t="s">
        <v>77</v>
      </c>
      <c r="O144" s="90">
        <v>1</v>
      </c>
      <c r="U144" s="161"/>
    </row>
    <row r="145" spans="2:21" ht="12.75">
      <c r="B145" s="259" t="s">
        <v>234</v>
      </c>
      <c r="C145" s="260"/>
      <c r="D145" s="47" t="s">
        <v>384</v>
      </c>
      <c r="E145" s="259" t="s">
        <v>250</v>
      </c>
      <c r="F145" s="260"/>
      <c r="G145" s="259" t="s">
        <v>385</v>
      </c>
      <c r="H145" s="261"/>
      <c r="I145" s="260"/>
      <c r="J145" s="259" t="s">
        <v>386</v>
      </c>
      <c r="K145" s="260"/>
      <c r="N145" s="83" t="s">
        <v>78</v>
      </c>
      <c r="O145" s="90"/>
      <c r="U145" s="161"/>
    </row>
    <row r="146" spans="2:21" ht="12.75">
      <c r="B146" s="259" t="s">
        <v>244</v>
      </c>
      <c r="C146" s="260"/>
      <c r="D146" s="47" t="s">
        <v>428</v>
      </c>
      <c r="E146" s="259" t="s">
        <v>254</v>
      </c>
      <c r="F146" s="260"/>
      <c r="G146" s="259" t="s">
        <v>429</v>
      </c>
      <c r="H146" s="261"/>
      <c r="I146" s="260"/>
      <c r="J146" s="259" t="s">
        <v>430</v>
      </c>
      <c r="K146" s="260"/>
      <c r="N146" s="84"/>
      <c r="O146" s="89"/>
      <c r="U146" s="161"/>
    </row>
    <row r="147" spans="2:21" ht="12.75">
      <c r="B147" s="259" t="s">
        <v>71</v>
      </c>
      <c r="C147" s="260"/>
      <c r="D147" s="47" t="s">
        <v>463</v>
      </c>
      <c r="E147" s="259" t="s">
        <v>250</v>
      </c>
      <c r="F147" s="260"/>
      <c r="G147" s="259" t="s">
        <v>464</v>
      </c>
      <c r="H147" s="261"/>
      <c r="I147" s="260"/>
      <c r="J147" s="259" t="s">
        <v>465</v>
      </c>
      <c r="K147" s="260"/>
      <c r="N147" s="93" t="s">
        <v>80</v>
      </c>
      <c r="O147" s="94">
        <f>SUM(O137:O145)</f>
        <v>21</v>
      </c>
      <c r="U147" s="161"/>
    </row>
    <row r="148" spans="2:21" ht="12.75">
      <c r="B148" s="259" t="s">
        <v>244</v>
      </c>
      <c r="C148" s="260"/>
      <c r="D148" s="47" t="s">
        <v>487</v>
      </c>
      <c r="E148" s="259" t="s">
        <v>254</v>
      </c>
      <c r="F148" s="260"/>
      <c r="G148" s="259" t="s">
        <v>488</v>
      </c>
      <c r="H148" s="261"/>
      <c r="I148" s="260"/>
      <c r="J148" s="259" t="s">
        <v>489</v>
      </c>
      <c r="K148" s="260"/>
      <c r="U148" s="161"/>
    </row>
    <row r="149" spans="2:21" ht="12.75">
      <c r="B149" s="259" t="s">
        <v>244</v>
      </c>
      <c r="C149" s="260"/>
      <c r="D149" s="47" t="s">
        <v>490</v>
      </c>
      <c r="E149" s="259" t="s">
        <v>254</v>
      </c>
      <c r="F149" s="260"/>
      <c r="G149" s="259" t="s">
        <v>492</v>
      </c>
      <c r="H149" s="261"/>
      <c r="I149" s="260"/>
      <c r="J149" s="259" t="s">
        <v>494</v>
      </c>
      <c r="K149" s="260"/>
      <c r="U149" s="161"/>
    </row>
    <row r="150" spans="2:21" ht="12.75">
      <c r="B150" s="259" t="s">
        <v>244</v>
      </c>
      <c r="C150" s="260"/>
      <c r="D150" s="47" t="s">
        <v>491</v>
      </c>
      <c r="E150" s="259" t="s">
        <v>254</v>
      </c>
      <c r="F150" s="260"/>
      <c r="G150" s="259" t="s">
        <v>493</v>
      </c>
      <c r="H150" s="261"/>
      <c r="I150" s="260"/>
      <c r="J150" s="259" t="s">
        <v>495</v>
      </c>
      <c r="K150" s="260"/>
      <c r="U150" s="161"/>
    </row>
    <row r="151" spans="2:21" ht="12.75">
      <c r="B151" s="259" t="s">
        <v>71</v>
      </c>
      <c r="C151" s="260"/>
      <c r="D151" s="47" t="s">
        <v>642</v>
      </c>
      <c r="E151" s="259" t="s">
        <v>250</v>
      </c>
      <c r="F151" s="260"/>
      <c r="G151" s="259" t="s">
        <v>643</v>
      </c>
      <c r="H151" s="261"/>
      <c r="I151" s="260"/>
      <c r="J151" s="259" t="s">
        <v>644</v>
      </c>
      <c r="K151" s="260"/>
      <c r="U151" s="161"/>
    </row>
    <row r="152" spans="2:21" ht="12.75">
      <c r="B152" s="259" t="s">
        <v>244</v>
      </c>
      <c r="C152" s="260"/>
      <c r="D152" s="47" t="s">
        <v>737</v>
      </c>
      <c r="E152" s="259" t="s">
        <v>254</v>
      </c>
      <c r="F152" s="260"/>
      <c r="G152" s="259" t="s">
        <v>738</v>
      </c>
      <c r="H152" s="261"/>
      <c r="I152" s="260"/>
      <c r="J152" s="259" t="s">
        <v>739</v>
      </c>
      <c r="K152" s="260"/>
      <c r="U152" s="161"/>
    </row>
    <row r="153" spans="2:21" ht="12.75">
      <c r="B153" s="259" t="s">
        <v>244</v>
      </c>
      <c r="C153" s="260"/>
      <c r="D153" s="47" t="s">
        <v>740</v>
      </c>
      <c r="E153" s="259" t="s">
        <v>254</v>
      </c>
      <c r="F153" s="260"/>
      <c r="G153" s="259" t="s">
        <v>741</v>
      </c>
      <c r="H153" s="261"/>
      <c r="I153" s="260"/>
      <c r="J153" s="259" t="s">
        <v>734</v>
      </c>
      <c r="K153" s="260"/>
      <c r="U153" s="161"/>
    </row>
    <row r="154" spans="2:21" ht="12.75">
      <c r="B154" s="259" t="s">
        <v>308</v>
      </c>
      <c r="C154" s="260"/>
      <c r="D154" s="47" t="s">
        <v>643</v>
      </c>
      <c r="E154" s="259" t="s">
        <v>250</v>
      </c>
      <c r="F154" s="260"/>
      <c r="G154" s="259" t="s">
        <v>384</v>
      </c>
      <c r="H154" s="261"/>
      <c r="I154" s="260"/>
      <c r="J154" s="259" t="s">
        <v>1044</v>
      </c>
      <c r="K154" s="260"/>
      <c r="U154" s="161"/>
    </row>
    <row r="155" spans="2:21" ht="12.75">
      <c r="B155" s="259" t="s">
        <v>77</v>
      </c>
      <c r="C155" s="260"/>
      <c r="D155" s="47" t="s">
        <v>1045</v>
      </c>
      <c r="E155" s="259" t="s">
        <v>250</v>
      </c>
      <c r="F155" s="260"/>
      <c r="G155" s="259" t="s">
        <v>1046</v>
      </c>
      <c r="H155" s="261"/>
      <c r="I155" s="260"/>
      <c r="J155" s="259" t="s">
        <v>1044</v>
      </c>
      <c r="K155" s="260"/>
      <c r="U155" s="161"/>
    </row>
    <row r="156" spans="2:21" ht="12.75">
      <c r="B156" s="259" t="s">
        <v>244</v>
      </c>
      <c r="C156" s="260"/>
      <c r="D156" s="47" t="s">
        <v>1051</v>
      </c>
      <c r="E156" s="259" t="s">
        <v>254</v>
      </c>
      <c r="F156" s="260"/>
      <c r="G156" s="259" t="s">
        <v>1052</v>
      </c>
      <c r="H156" s="261"/>
      <c r="I156" s="260"/>
      <c r="J156" s="259" t="s">
        <v>1053</v>
      </c>
      <c r="K156" s="260"/>
      <c r="U156" s="161"/>
    </row>
    <row r="157" spans="2:21" ht="12.75">
      <c r="B157" s="259" t="s">
        <v>185</v>
      </c>
      <c r="C157" s="260"/>
      <c r="D157" s="47" t="s">
        <v>1084</v>
      </c>
      <c r="E157" s="259" t="s">
        <v>192</v>
      </c>
      <c r="F157" s="260"/>
      <c r="G157" s="259" t="s">
        <v>1085</v>
      </c>
      <c r="H157" s="261"/>
      <c r="I157" s="260"/>
      <c r="J157" s="259" t="s">
        <v>1086</v>
      </c>
      <c r="K157" s="260"/>
      <c r="L157" s="1" t="s">
        <v>1087</v>
      </c>
      <c r="U157" s="161"/>
    </row>
    <row r="158" spans="2:21" ht="12.75">
      <c r="B158" s="259" t="s">
        <v>234</v>
      </c>
      <c r="C158" s="260"/>
      <c r="D158" s="47" t="s">
        <v>410</v>
      </c>
      <c r="E158" s="259" t="s">
        <v>250</v>
      </c>
      <c r="F158" s="260"/>
      <c r="G158" s="259" t="s">
        <v>642</v>
      </c>
      <c r="H158" s="261"/>
      <c r="I158" s="260"/>
      <c r="J158" s="259" t="s">
        <v>1115</v>
      </c>
      <c r="K158" s="260"/>
      <c r="U158" s="161"/>
    </row>
    <row r="159" spans="2:21" ht="12.75">
      <c r="B159" s="259" t="s">
        <v>71</v>
      </c>
      <c r="C159" s="260"/>
      <c r="D159" s="47" t="s">
        <v>1116</v>
      </c>
      <c r="E159" s="259" t="s">
        <v>250</v>
      </c>
      <c r="F159" s="260"/>
      <c r="G159" s="259" t="s">
        <v>463</v>
      </c>
      <c r="H159" s="261"/>
      <c r="I159" s="260"/>
      <c r="J159" s="259" t="s">
        <v>1115</v>
      </c>
      <c r="K159" s="260"/>
      <c r="U159" s="161"/>
    </row>
    <row r="160" spans="2:21" ht="12.75">
      <c r="B160" s="259"/>
      <c r="C160" s="260"/>
      <c r="D160" s="47"/>
      <c r="E160" s="259"/>
      <c r="F160" s="260"/>
      <c r="G160" s="259"/>
      <c r="H160" s="261"/>
      <c r="I160" s="260"/>
      <c r="J160" s="259"/>
      <c r="K160" s="260"/>
      <c r="U160" s="161"/>
    </row>
    <row r="161" spans="2:21" ht="12.75">
      <c r="B161" s="259"/>
      <c r="C161" s="260"/>
      <c r="D161" s="47"/>
      <c r="E161" s="259"/>
      <c r="F161" s="260"/>
      <c r="G161" s="259"/>
      <c r="H161" s="261"/>
      <c r="I161" s="260"/>
      <c r="J161" s="259"/>
      <c r="K161" s="260"/>
      <c r="U161" s="161"/>
    </row>
    <row r="162" spans="2:21" ht="12.75">
      <c r="B162" s="259"/>
      <c r="C162" s="260"/>
      <c r="D162" s="47"/>
      <c r="E162" s="259"/>
      <c r="F162" s="260"/>
      <c r="G162" s="259"/>
      <c r="H162" s="261"/>
      <c r="I162" s="260"/>
      <c r="J162" s="259"/>
      <c r="K162" s="260"/>
      <c r="U162" s="161"/>
    </row>
    <row r="163" spans="2:21" ht="12.75">
      <c r="B163" s="259"/>
      <c r="C163" s="260"/>
      <c r="D163" s="47"/>
      <c r="E163" s="259"/>
      <c r="F163" s="260"/>
      <c r="G163" s="259"/>
      <c r="H163" s="261"/>
      <c r="I163" s="260"/>
      <c r="J163" s="259"/>
      <c r="K163" s="260"/>
      <c r="U163" s="161"/>
    </row>
    <row r="164" spans="2:21" ht="12.75">
      <c r="B164" s="259"/>
      <c r="C164" s="260"/>
      <c r="D164" s="47"/>
      <c r="E164" s="259"/>
      <c r="F164" s="260"/>
      <c r="G164" s="259"/>
      <c r="H164" s="261"/>
      <c r="I164" s="260"/>
      <c r="J164" s="259"/>
      <c r="K164" s="260"/>
      <c r="U164" s="161"/>
    </row>
    <row r="165" spans="2:21" ht="12.75">
      <c r="B165" s="259"/>
      <c r="C165" s="260"/>
      <c r="D165" s="47"/>
      <c r="E165" s="259"/>
      <c r="F165" s="260"/>
      <c r="G165" s="259"/>
      <c r="H165" s="261"/>
      <c r="I165" s="260"/>
      <c r="J165" s="259"/>
      <c r="K165" s="260"/>
      <c r="U165" s="161"/>
    </row>
    <row r="166" spans="2:21" ht="12.75">
      <c r="B166" s="259"/>
      <c r="C166" s="260"/>
      <c r="D166" s="47"/>
      <c r="E166" s="259"/>
      <c r="F166" s="260"/>
      <c r="G166" s="259"/>
      <c r="H166" s="261"/>
      <c r="I166" s="260"/>
      <c r="J166" s="259"/>
      <c r="K166" s="260"/>
      <c r="U166" s="161"/>
    </row>
    <row r="167" spans="2:21" ht="12.75">
      <c r="B167" s="259"/>
      <c r="C167" s="260"/>
      <c r="D167" s="47"/>
      <c r="E167" s="259"/>
      <c r="F167" s="260"/>
      <c r="G167" s="259"/>
      <c r="H167" s="261"/>
      <c r="I167" s="260"/>
      <c r="J167" s="259"/>
      <c r="K167" s="260"/>
      <c r="U167" s="161"/>
    </row>
    <row r="168" spans="2:21" ht="12.75">
      <c r="B168" s="259"/>
      <c r="C168" s="260"/>
      <c r="D168" s="47"/>
      <c r="E168" s="259"/>
      <c r="F168" s="260"/>
      <c r="G168" s="259"/>
      <c r="H168" s="261"/>
      <c r="I168" s="260"/>
      <c r="J168" s="259"/>
      <c r="K168" s="260"/>
      <c r="U168" s="161"/>
    </row>
    <row r="169" spans="2:21" ht="12.75">
      <c r="B169" s="259"/>
      <c r="C169" s="260"/>
      <c r="D169" s="47"/>
      <c r="E169" s="259"/>
      <c r="F169" s="260"/>
      <c r="G169" s="259"/>
      <c r="H169" s="261"/>
      <c r="I169" s="260"/>
      <c r="J169" s="259"/>
      <c r="K169" s="260"/>
      <c r="U169" s="161"/>
    </row>
    <row r="170" spans="2:21" ht="12.75">
      <c r="B170" s="259"/>
      <c r="C170" s="260"/>
      <c r="D170" s="47"/>
      <c r="E170" s="259"/>
      <c r="F170" s="260"/>
      <c r="G170" s="259"/>
      <c r="H170" s="261"/>
      <c r="I170" s="260"/>
      <c r="J170" s="259"/>
      <c r="K170" s="260"/>
      <c r="U170" s="161"/>
    </row>
    <row r="171" spans="2:21" ht="12.75">
      <c r="B171" s="259"/>
      <c r="C171" s="260"/>
      <c r="D171" s="47"/>
      <c r="E171" s="259"/>
      <c r="F171" s="260"/>
      <c r="G171" s="259"/>
      <c r="H171" s="261"/>
      <c r="I171" s="260"/>
      <c r="J171" s="259"/>
      <c r="K171" s="260"/>
      <c r="U171" s="161"/>
    </row>
    <row r="172" spans="2:21" ht="12.75">
      <c r="B172" s="259"/>
      <c r="C172" s="260"/>
      <c r="D172" s="47"/>
      <c r="E172" s="259"/>
      <c r="F172" s="260"/>
      <c r="G172" s="259"/>
      <c r="H172" s="261"/>
      <c r="I172" s="260"/>
      <c r="J172" s="259"/>
      <c r="K172" s="260"/>
      <c r="U172" s="161"/>
    </row>
    <row r="173" spans="2:21" ht="12.75">
      <c r="B173" s="259"/>
      <c r="C173" s="260"/>
      <c r="D173" s="47"/>
      <c r="E173" s="259"/>
      <c r="F173" s="260"/>
      <c r="G173" s="259"/>
      <c r="H173" s="261"/>
      <c r="I173" s="260"/>
      <c r="J173" s="259"/>
      <c r="K173" s="260"/>
      <c r="U173" s="161"/>
    </row>
    <row r="174" spans="2:21" ht="12.75">
      <c r="B174" s="259"/>
      <c r="C174" s="260"/>
      <c r="D174" s="47"/>
      <c r="E174" s="259"/>
      <c r="F174" s="260"/>
      <c r="G174" s="259"/>
      <c r="H174" s="261"/>
      <c r="I174" s="260"/>
      <c r="J174" s="259"/>
      <c r="K174" s="260"/>
      <c r="U174" s="161"/>
    </row>
    <row r="175" spans="2:21" ht="12.75">
      <c r="B175" s="259"/>
      <c r="C175" s="260"/>
      <c r="D175" s="47"/>
      <c r="E175" s="259"/>
      <c r="F175" s="260"/>
      <c r="G175" s="259"/>
      <c r="H175" s="261"/>
      <c r="I175" s="260"/>
      <c r="J175" s="259"/>
      <c r="K175" s="260"/>
      <c r="U175" s="161"/>
    </row>
    <row r="176" spans="2:21" ht="12.75">
      <c r="B176" s="259"/>
      <c r="C176" s="260"/>
      <c r="D176" s="47"/>
      <c r="E176" s="259"/>
      <c r="F176" s="260"/>
      <c r="G176" s="259"/>
      <c r="H176" s="261"/>
      <c r="I176" s="260"/>
      <c r="J176" s="259"/>
      <c r="K176" s="260"/>
      <c r="U176" s="161"/>
    </row>
    <row r="177" spans="2:21" ht="12.75">
      <c r="B177" s="259"/>
      <c r="C177" s="260"/>
      <c r="D177" s="47"/>
      <c r="E177" s="259"/>
      <c r="F177" s="260"/>
      <c r="G177" s="259"/>
      <c r="H177" s="261"/>
      <c r="I177" s="260"/>
      <c r="J177" s="259"/>
      <c r="K177" s="260"/>
      <c r="U177" s="161"/>
    </row>
    <row r="178" spans="2:21" ht="12.75">
      <c r="B178" s="259"/>
      <c r="C178" s="260"/>
      <c r="D178" s="47"/>
      <c r="E178" s="259"/>
      <c r="F178" s="260"/>
      <c r="G178" s="259"/>
      <c r="H178" s="261"/>
      <c r="I178" s="260"/>
      <c r="J178" s="259"/>
      <c r="K178" s="260"/>
      <c r="U178" s="161"/>
    </row>
    <row r="179" spans="2:21" ht="12.75">
      <c r="B179" s="259"/>
      <c r="C179" s="260"/>
      <c r="D179" s="47"/>
      <c r="E179" s="259"/>
      <c r="F179" s="260"/>
      <c r="G179" s="259"/>
      <c r="H179" s="261"/>
      <c r="I179" s="260"/>
      <c r="J179" s="259"/>
      <c r="K179" s="260"/>
      <c r="U179" s="161"/>
    </row>
  </sheetData>
  <mergeCells count="217">
    <mergeCell ref="W40:AB40"/>
    <mergeCell ref="X31:Y31"/>
    <mergeCell ref="X32:Y32"/>
    <mergeCell ref="X33:Y33"/>
    <mergeCell ref="X35:Y35"/>
    <mergeCell ref="X34:Y34"/>
    <mergeCell ref="W10:Z10"/>
    <mergeCell ref="X11:Y11"/>
    <mergeCell ref="X14:Y14"/>
    <mergeCell ref="X30:Y30"/>
    <mergeCell ref="B179:C179"/>
    <mergeCell ref="E179:F179"/>
    <mergeCell ref="G179:I179"/>
    <mergeCell ref="J179:K179"/>
    <mergeCell ref="B178:C178"/>
    <mergeCell ref="E178:F178"/>
    <mergeCell ref="G178:I178"/>
    <mergeCell ref="J178:K178"/>
    <mergeCell ref="B177:C177"/>
    <mergeCell ref="E177:F177"/>
    <mergeCell ref="G177:I177"/>
    <mergeCell ref="J177:K177"/>
    <mergeCell ref="B176:C176"/>
    <mergeCell ref="E176:F176"/>
    <mergeCell ref="G176:I176"/>
    <mergeCell ref="J176:K176"/>
    <mergeCell ref="B175:C175"/>
    <mergeCell ref="E175:F175"/>
    <mergeCell ref="G175:I175"/>
    <mergeCell ref="J175:K175"/>
    <mergeCell ref="B174:C174"/>
    <mergeCell ref="E174:F174"/>
    <mergeCell ref="G174:I174"/>
    <mergeCell ref="J174:K174"/>
    <mergeCell ref="B173:C173"/>
    <mergeCell ref="E173:F173"/>
    <mergeCell ref="G173:I173"/>
    <mergeCell ref="J173:K173"/>
    <mergeCell ref="B172:C172"/>
    <mergeCell ref="E172:F172"/>
    <mergeCell ref="G172:I172"/>
    <mergeCell ref="J172:K172"/>
    <mergeCell ref="B171:C171"/>
    <mergeCell ref="E171:F171"/>
    <mergeCell ref="G171:I171"/>
    <mergeCell ref="J171:K171"/>
    <mergeCell ref="B170:C170"/>
    <mergeCell ref="E170:F170"/>
    <mergeCell ref="G170:I170"/>
    <mergeCell ref="J170:K170"/>
    <mergeCell ref="B169:C169"/>
    <mergeCell ref="E169:F169"/>
    <mergeCell ref="G169:I169"/>
    <mergeCell ref="J169:K169"/>
    <mergeCell ref="B168:C168"/>
    <mergeCell ref="E168:F168"/>
    <mergeCell ref="G168:I168"/>
    <mergeCell ref="J168:K168"/>
    <mergeCell ref="B167:C167"/>
    <mergeCell ref="E167:F167"/>
    <mergeCell ref="G167:I167"/>
    <mergeCell ref="J167:K167"/>
    <mergeCell ref="B166:C166"/>
    <mergeCell ref="E166:F166"/>
    <mergeCell ref="G166:I166"/>
    <mergeCell ref="J166:K166"/>
    <mergeCell ref="B165:C165"/>
    <mergeCell ref="E165:F165"/>
    <mergeCell ref="G165:I165"/>
    <mergeCell ref="J165:K165"/>
    <mergeCell ref="B164:C164"/>
    <mergeCell ref="E164:F164"/>
    <mergeCell ref="G164:I164"/>
    <mergeCell ref="J164:K164"/>
    <mergeCell ref="B163:C163"/>
    <mergeCell ref="E163:F163"/>
    <mergeCell ref="G163:I163"/>
    <mergeCell ref="J163:K163"/>
    <mergeCell ref="B162:C162"/>
    <mergeCell ref="E162:F162"/>
    <mergeCell ref="G162:I162"/>
    <mergeCell ref="J162:K162"/>
    <mergeCell ref="B161:C161"/>
    <mergeCell ref="E161:F161"/>
    <mergeCell ref="G161:I161"/>
    <mergeCell ref="J161:K161"/>
    <mergeCell ref="B160:C160"/>
    <mergeCell ref="E160:F160"/>
    <mergeCell ref="G160:I160"/>
    <mergeCell ref="J160:K160"/>
    <mergeCell ref="B159:C159"/>
    <mergeCell ref="E159:F159"/>
    <mergeCell ref="G159:I159"/>
    <mergeCell ref="J159:K159"/>
    <mergeCell ref="B158:C158"/>
    <mergeCell ref="E158:F158"/>
    <mergeCell ref="G158:I158"/>
    <mergeCell ref="J158:K158"/>
    <mergeCell ref="B157:C157"/>
    <mergeCell ref="E157:F157"/>
    <mergeCell ref="G157:I157"/>
    <mergeCell ref="J157:K157"/>
    <mergeCell ref="B156:C156"/>
    <mergeCell ref="E156:F156"/>
    <mergeCell ref="G156:I156"/>
    <mergeCell ref="J156:K156"/>
    <mergeCell ref="B155:C155"/>
    <mergeCell ref="E155:F155"/>
    <mergeCell ref="G155:I155"/>
    <mergeCell ref="J155:K155"/>
    <mergeCell ref="B154:C154"/>
    <mergeCell ref="E154:F154"/>
    <mergeCell ref="G154:I154"/>
    <mergeCell ref="J154:K154"/>
    <mergeCell ref="B152:C152"/>
    <mergeCell ref="J152:K152"/>
    <mergeCell ref="B153:C153"/>
    <mergeCell ref="E153:F153"/>
    <mergeCell ref="G153:I153"/>
    <mergeCell ref="J153:K153"/>
    <mergeCell ref="E152:F152"/>
    <mergeCell ref="G152:I152"/>
    <mergeCell ref="B151:C151"/>
    <mergeCell ref="E151:F151"/>
    <mergeCell ref="G151:I151"/>
    <mergeCell ref="J151:K151"/>
    <mergeCell ref="B150:C150"/>
    <mergeCell ref="E150:F150"/>
    <mergeCell ref="G150:I150"/>
    <mergeCell ref="J150:K150"/>
    <mergeCell ref="B149:C149"/>
    <mergeCell ref="E149:F149"/>
    <mergeCell ref="G149:I149"/>
    <mergeCell ref="J149:K149"/>
    <mergeCell ref="B148:C148"/>
    <mergeCell ref="E148:F148"/>
    <mergeCell ref="G148:I148"/>
    <mergeCell ref="J148:K148"/>
    <mergeCell ref="B147:C147"/>
    <mergeCell ref="E147:F147"/>
    <mergeCell ref="G147:I147"/>
    <mergeCell ref="J147:K147"/>
    <mergeCell ref="B146:C146"/>
    <mergeCell ref="E146:F146"/>
    <mergeCell ref="G146:I146"/>
    <mergeCell ref="J146:K146"/>
    <mergeCell ref="B145:C145"/>
    <mergeCell ref="E145:F145"/>
    <mergeCell ref="G145:I145"/>
    <mergeCell ref="J145:K145"/>
    <mergeCell ref="B144:C144"/>
    <mergeCell ref="E144:F144"/>
    <mergeCell ref="G144:I144"/>
    <mergeCell ref="J144:K144"/>
    <mergeCell ref="B143:C143"/>
    <mergeCell ref="E143:F143"/>
    <mergeCell ref="G143:I143"/>
    <mergeCell ref="J143:K143"/>
    <mergeCell ref="B142:C142"/>
    <mergeCell ref="E142:F142"/>
    <mergeCell ref="G142:I142"/>
    <mergeCell ref="J142:K142"/>
    <mergeCell ref="B141:C141"/>
    <mergeCell ref="E141:F141"/>
    <mergeCell ref="G141:I141"/>
    <mergeCell ref="J141:K141"/>
    <mergeCell ref="B140:C140"/>
    <mergeCell ref="E140:F140"/>
    <mergeCell ref="G140:I140"/>
    <mergeCell ref="J140:K140"/>
    <mergeCell ref="B139:C139"/>
    <mergeCell ref="E139:F139"/>
    <mergeCell ref="G139:I139"/>
    <mergeCell ref="J139:K139"/>
    <mergeCell ref="B137:K137"/>
    <mergeCell ref="B138:C138"/>
    <mergeCell ref="E138:F138"/>
    <mergeCell ref="G138:I138"/>
    <mergeCell ref="J138:K138"/>
    <mergeCell ref="B110:D110"/>
    <mergeCell ref="B112:I112"/>
    <mergeCell ref="B120:D120"/>
    <mergeCell ref="B122:K122"/>
    <mergeCell ref="B126:D126"/>
    <mergeCell ref="B127:I127"/>
    <mergeCell ref="B131:D131"/>
    <mergeCell ref="B133:D133"/>
    <mergeCell ref="C77:D77"/>
    <mergeCell ref="C78:D78"/>
    <mergeCell ref="B97:D97"/>
    <mergeCell ref="B99:I99"/>
    <mergeCell ref="B80:K80"/>
    <mergeCell ref="B87:D87"/>
    <mergeCell ref="B89:I89"/>
    <mergeCell ref="B60:K60"/>
    <mergeCell ref="B64:D64"/>
    <mergeCell ref="B65:I65"/>
    <mergeCell ref="C76:D76"/>
    <mergeCell ref="B74:K74"/>
    <mergeCell ref="B70:D70"/>
    <mergeCell ref="B72:D72"/>
    <mergeCell ref="B46:D46"/>
    <mergeCell ref="B48:I48"/>
    <mergeCell ref="N43:S43"/>
    <mergeCell ref="B58:D58"/>
    <mergeCell ref="N20:R20"/>
    <mergeCell ref="B35:D35"/>
    <mergeCell ref="N30:R30"/>
    <mergeCell ref="B37:I37"/>
    <mergeCell ref="C11:D11"/>
    <mergeCell ref="B13:K13"/>
    <mergeCell ref="B19:D19"/>
    <mergeCell ref="B21:I21"/>
    <mergeCell ref="B6:K6"/>
    <mergeCell ref="C9:D9"/>
    <mergeCell ref="C10:D10"/>
    <mergeCell ref="N10:R10"/>
  </mergeCells>
  <printOptions/>
  <pageMargins left="0.75" right="0.75" top="1" bottom="1" header="0.4921259845" footer="0.4921259845"/>
  <pageSetup orientation="portrait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 B.</dc:creator>
  <cp:keywords/>
  <dc:description/>
  <cp:lastModifiedBy>Johnny B.</cp:lastModifiedBy>
  <cp:lastPrinted>2008-08-30T19:00:43Z</cp:lastPrinted>
  <dcterms:created xsi:type="dcterms:W3CDTF">2007-09-06T00:36:36Z</dcterms:created>
  <dcterms:modified xsi:type="dcterms:W3CDTF">2009-03-13T04:18:09Z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